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640" tabRatio="697"/>
  </bookViews>
  <sheets>
    <sheet name="Титульник" sheetId="14" r:id="rId1"/>
    <sheet name="мун.зад." sheetId="1" r:id="rId2"/>
    <sheet name="проверка 2017" sheetId="4" state="hidden" r:id="rId3"/>
    <sheet name="проверка 2018 " sheetId="11" state="hidden" r:id="rId4"/>
    <sheet name="проверка 2019" sheetId="12" state="hidden" r:id="rId5"/>
    <sheet name="прил.1+2" sheetId="5" state="hidden" r:id="rId6"/>
    <sheet name="прил.3" sheetId="6" state="hidden" r:id="rId7"/>
    <sheet name="прил.4" sheetId="7" state="hidden" r:id="rId8"/>
    <sheet name="прил.5" sheetId="9" state="hidden" r:id="rId9"/>
    <sheet name="прил.6" sheetId="10" state="hidden" r:id="rId10"/>
    <sheet name="свод " sheetId="8" r:id="rId11"/>
    <sheet name="Лист1" sheetId="13" r:id="rId12"/>
  </sheets>
  <externalReferences>
    <externalReference r:id="rId13"/>
  </externalReferences>
  <definedNames>
    <definedName name="_xlnm.Print_Titles" localSheetId="10">'свод '!$7:$7</definedName>
    <definedName name="_xlnm.Print_Area" localSheetId="1">мун.зад.!$A$1:$P$240</definedName>
    <definedName name="_xlnm.Print_Area" localSheetId="5">'прил.1+2'!$A$1:$Q$77</definedName>
    <definedName name="_xlnm.Print_Area" localSheetId="6">прил.3!$A$1:$G$112</definedName>
    <definedName name="_xlnm.Print_Area" localSheetId="8">прил.5!$A$1:$I$33</definedName>
    <definedName name="_xlnm.Print_Area" localSheetId="9">прил.6!$A$1:$G$37</definedName>
    <definedName name="_xlnm.Print_Area" localSheetId="10">'свод '!$A$1:$K$134</definedName>
  </definedNames>
  <calcPr calcId="125725"/>
</workbook>
</file>

<file path=xl/calcChain.xml><?xml version="1.0" encoding="utf-8"?>
<calcChain xmlns="http://schemas.openxmlformats.org/spreadsheetml/2006/main">
  <c r="O18" i="5"/>
  <c r="B5" i="13"/>
  <c r="C5"/>
  <c r="D5"/>
  <c r="A5"/>
  <c r="D6" s="1"/>
  <c r="O14" i="5"/>
  <c r="G7" i="9"/>
  <c r="G17"/>
  <c r="N14" i="5"/>
  <c r="N18" s="1"/>
  <c r="G9" i="6"/>
  <c r="A60" i="8"/>
  <c r="G26" i="6"/>
  <c r="G59"/>
  <c r="G24"/>
  <c r="G6"/>
  <c r="E8" i="10"/>
  <c r="I12" i="4"/>
  <c r="J12"/>
  <c r="K24" i="12" l="1"/>
  <c r="J24"/>
  <c r="B24"/>
  <c r="D14"/>
  <c r="C14"/>
  <c r="B14"/>
  <c r="C13"/>
  <c r="J12"/>
  <c r="M53" i="1" s="1"/>
  <c r="I12" i="12"/>
  <c r="K24" i="11"/>
  <c r="J24"/>
  <c r="B24"/>
  <c r="D14"/>
  <c r="C14"/>
  <c r="B14"/>
  <c r="C13"/>
  <c r="J12"/>
  <c r="I12"/>
  <c r="J16" i="4"/>
  <c r="J17"/>
  <c r="J18"/>
  <c r="J15"/>
  <c r="I16"/>
  <c r="G16" s="1"/>
  <c r="H16" s="1"/>
  <c r="I17"/>
  <c r="G17" s="1"/>
  <c r="H17" s="1"/>
  <c r="I18"/>
  <c r="G18" s="1"/>
  <c r="H18" s="1"/>
  <c r="I15"/>
  <c r="G15" s="1"/>
  <c r="H15" s="1"/>
  <c r="M120" i="1" l="1"/>
  <c r="M119"/>
  <c r="H24" i="12"/>
  <c r="M117" i="1" s="1"/>
  <c r="M52"/>
  <c r="J16" i="12"/>
  <c r="L120" i="1"/>
  <c r="L119"/>
  <c r="I24" i="11"/>
  <c r="L118" i="1" s="1"/>
  <c r="L53"/>
  <c r="H24" i="11"/>
  <c r="L117" i="1" s="1"/>
  <c r="L52"/>
  <c r="B13" i="12"/>
  <c r="B13" i="11"/>
  <c r="D13" i="12"/>
  <c r="I15"/>
  <c r="I16"/>
  <c r="I17"/>
  <c r="I18"/>
  <c r="I24"/>
  <c r="K26"/>
  <c r="K30"/>
  <c r="J15"/>
  <c r="J17"/>
  <c r="J18"/>
  <c r="J27"/>
  <c r="J29"/>
  <c r="J31"/>
  <c r="H30" i="11"/>
  <c r="H28"/>
  <c r="H26"/>
  <c r="I33"/>
  <c r="I31"/>
  <c r="I30"/>
  <c r="I29"/>
  <c r="I28"/>
  <c r="I27"/>
  <c r="I26"/>
  <c r="I25"/>
  <c r="D13"/>
  <c r="I15"/>
  <c r="I16"/>
  <c r="I17"/>
  <c r="I18"/>
  <c r="K25"/>
  <c r="K26"/>
  <c r="K27"/>
  <c r="K28"/>
  <c r="K29"/>
  <c r="K30"/>
  <c r="K31"/>
  <c r="K32"/>
  <c r="J15"/>
  <c r="J16"/>
  <c r="J17"/>
  <c r="J18"/>
  <c r="J25"/>
  <c r="J26"/>
  <c r="J27"/>
  <c r="J28"/>
  <c r="J29"/>
  <c r="J30"/>
  <c r="J31"/>
  <c r="J32"/>
  <c r="J24" i="4"/>
  <c r="K33" i="11" l="1"/>
  <c r="J32" i="12"/>
  <c r="J30"/>
  <c r="J28"/>
  <c r="J26"/>
  <c r="K32"/>
  <c r="K28"/>
  <c r="K25"/>
  <c r="K33"/>
  <c r="K31"/>
  <c r="K29"/>
  <c r="K27"/>
  <c r="J33"/>
  <c r="J25"/>
  <c r="H33"/>
  <c r="M118" i="1"/>
  <c r="J33" i="11"/>
  <c r="I32"/>
  <c r="H25"/>
  <c r="H27"/>
  <c r="H29"/>
  <c r="H32"/>
  <c r="H31"/>
  <c r="H33"/>
  <c r="J19" i="12"/>
  <c r="P53" i="1" s="1"/>
  <c r="H25" i="12"/>
  <c r="H27"/>
  <c r="H29"/>
  <c r="H31"/>
  <c r="I33"/>
  <c r="I32"/>
  <c r="I31"/>
  <c r="I30"/>
  <c r="I29"/>
  <c r="I28"/>
  <c r="I27"/>
  <c r="I26"/>
  <c r="I25"/>
  <c r="I19"/>
  <c r="P52" i="1" s="1"/>
  <c r="J34" i="12"/>
  <c r="P119" i="1" s="1"/>
  <c r="H26" i="12"/>
  <c r="H28"/>
  <c r="H30"/>
  <c r="H32"/>
  <c r="I19" i="11"/>
  <c r="O52" i="1" s="1"/>
  <c r="J34" i="11"/>
  <c r="O119" i="1" s="1"/>
  <c r="J19" i="11"/>
  <c r="O53" i="1" s="1"/>
  <c r="K34" i="11"/>
  <c r="O120" i="1" s="1"/>
  <c r="I34" i="11"/>
  <c r="O118" i="1" s="1"/>
  <c r="G22" i="9"/>
  <c r="G16"/>
  <c r="G12"/>
  <c r="G97" i="6"/>
  <c r="G83" i="8" s="1"/>
  <c r="B8" i="5"/>
  <c r="B9"/>
  <c r="O34"/>
  <c r="O30"/>
  <c r="O19"/>
  <c r="M19"/>
  <c r="L19"/>
  <c r="Q18"/>
  <c r="P18"/>
  <c r="N17"/>
  <c r="N19" s="1"/>
  <c r="O15"/>
  <c r="M15"/>
  <c r="B47" s="1"/>
  <c r="L15"/>
  <c r="Q14"/>
  <c r="P14"/>
  <c r="N13"/>
  <c r="N15" s="1"/>
  <c r="G22" i="6"/>
  <c r="G61"/>
  <c r="G64"/>
  <c r="Q19" i="5" l="1"/>
  <c r="P19"/>
  <c r="B48"/>
  <c r="Q15"/>
  <c r="P15"/>
  <c r="C83" i="8"/>
  <c r="K34" i="12"/>
  <c r="P120" i="1" s="1"/>
  <c r="H34" i="11"/>
  <c r="O117" i="1" s="1"/>
  <c r="I34" i="12"/>
  <c r="P118" i="1" s="1"/>
  <c r="H34" i="12"/>
  <c r="P117" i="1" s="1"/>
  <c r="I19" i="4"/>
  <c r="F15" i="5"/>
  <c r="D15" s="1"/>
  <c r="M34" l="1"/>
  <c r="B54" s="1"/>
  <c r="Q33"/>
  <c r="P33"/>
  <c r="L33"/>
  <c r="L34" s="1"/>
  <c r="N32"/>
  <c r="N34" s="1"/>
  <c r="Q34" s="1"/>
  <c r="D54" s="1"/>
  <c r="K24" i="4"/>
  <c r="E74" i="6"/>
  <c r="G94"/>
  <c r="D24" i="10"/>
  <c r="E24"/>
  <c r="D25"/>
  <c r="E25"/>
  <c r="D26"/>
  <c r="E26"/>
  <c r="E23"/>
  <c r="D23"/>
  <c r="D21"/>
  <c r="E21"/>
  <c r="D22"/>
  <c r="E22"/>
  <c r="E20"/>
  <c r="D20"/>
  <c r="B26"/>
  <c r="B24"/>
  <c r="B25"/>
  <c r="B23"/>
  <c r="D116" i="8"/>
  <c r="D108"/>
  <c r="D104"/>
  <c r="D101"/>
  <c r="D95"/>
  <c r="D70"/>
  <c r="E70"/>
  <c r="F70"/>
  <c r="I22" i="9"/>
  <c r="G20"/>
  <c r="I20" s="1"/>
  <c r="G21"/>
  <c r="I16"/>
  <c r="I12"/>
  <c r="P34" i="5" l="1"/>
  <c r="C54" s="1"/>
  <c r="G54" s="1"/>
  <c r="H54" s="1"/>
  <c r="I21" i="9"/>
  <c r="G25" i="10" s="1"/>
  <c r="G20"/>
  <c r="G26"/>
  <c r="G24"/>
  <c r="G30" i="6"/>
  <c r="G20" l="1"/>
  <c r="G17"/>
  <c r="A61" i="8" l="1"/>
  <c r="G19" i="9"/>
  <c r="I19" l="1"/>
  <c r="G23" i="10" s="1"/>
  <c r="D91" i="8"/>
  <c r="D76"/>
  <c r="D39"/>
  <c r="D22"/>
  <c r="E22"/>
  <c r="F22"/>
  <c r="E21"/>
  <c r="F21"/>
  <c r="G37" i="6"/>
  <c r="G38"/>
  <c r="C66" i="8" s="1"/>
  <c r="G39" i="6"/>
  <c r="G32"/>
  <c r="G31"/>
  <c r="G29"/>
  <c r="G28"/>
  <c r="A52" i="8"/>
  <c r="A51"/>
  <c r="C47"/>
  <c r="Q10" i="5"/>
  <c r="P10"/>
  <c r="C7" s="1"/>
  <c r="O11"/>
  <c r="N9"/>
  <c r="N11" s="1"/>
  <c r="M11"/>
  <c r="B46" s="1"/>
  <c r="L11"/>
  <c r="G65" i="6"/>
  <c r="G35"/>
  <c r="G36"/>
  <c r="G16"/>
  <c r="G15"/>
  <c r="C51" i="8" s="1"/>
  <c r="G15" i="9"/>
  <c r="I15" s="1"/>
  <c r="G14"/>
  <c r="I14" s="1"/>
  <c r="I7"/>
  <c r="B7" i="5"/>
  <c r="G62" i="6"/>
  <c r="C57" i="8"/>
  <c r="C42"/>
  <c r="H22" i="5"/>
  <c r="D2" i="8"/>
  <c r="D29"/>
  <c r="E29"/>
  <c r="F29"/>
  <c r="G11"/>
  <c r="G12"/>
  <c r="D127"/>
  <c r="F127"/>
  <c r="F116"/>
  <c r="F108"/>
  <c r="G108"/>
  <c r="F104"/>
  <c r="F101"/>
  <c r="F95"/>
  <c r="F91"/>
  <c r="F76"/>
  <c r="F39"/>
  <c r="G34"/>
  <c r="G19"/>
  <c r="J5"/>
  <c r="K5"/>
  <c r="F5"/>
  <c r="E5"/>
  <c r="E18" s="1"/>
  <c r="E12" s="1"/>
  <c r="D5"/>
  <c r="E127"/>
  <c r="E116"/>
  <c r="E108"/>
  <c r="E104"/>
  <c r="E101"/>
  <c r="E95"/>
  <c r="E91"/>
  <c r="E76"/>
  <c r="E69"/>
  <c r="E68"/>
  <c r="E67"/>
  <c r="E66"/>
  <c r="E65"/>
  <c r="E39"/>
  <c r="A81"/>
  <c r="A80"/>
  <c r="A79"/>
  <c r="A78"/>
  <c r="A64"/>
  <c r="A43"/>
  <c r="A44"/>
  <c r="A45"/>
  <c r="A46"/>
  <c r="A47"/>
  <c r="A48"/>
  <c r="A49"/>
  <c r="A50"/>
  <c r="A53"/>
  <c r="A54"/>
  <c r="A55"/>
  <c r="A56"/>
  <c r="A57"/>
  <c r="A59"/>
  <c r="A62"/>
  <c r="A63"/>
  <c r="A42"/>
  <c r="M30" i="5"/>
  <c r="B53" s="1"/>
  <c r="Q29"/>
  <c r="P29"/>
  <c r="L29"/>
  <c r="L30" s="1"/>
  <c r="N28"/>
  <c r="N30" s="1"/>
  <c r="Q30" s="1"/>
  <c r="D53" s="1"/>
  <c r="O23"/>
  <c r="M23"/>
  <c r="P23" s="1"/>
  <c r="Q22"/>
  <c r="P22"/>
  <c r="L22"/>
  <c r="L23" s="1"/>
  <c r="N21"/>
  <c r="N23" s="1"/>
  <c r="Q23" s="1"/>
  <c r="D9"/>
  <c r="C9"/>
  <c r="G9" s="1"/>
  <c r="H9" s="1"/>
  <c r="D48"/>
  <c r="D8"/>
  <c r="G8" s="1"/>
  <c r="H8" s="1"/>
  <c r="C8"/>
  <c r="D47"/>
  <c r="G120" i="8"/>
  <c r="E6" i="10"/>
  <c r="G8" i="9"/>
  <c r="I8" s="1"/>
  <c r="G9"/>
  <c r="I9" s="1"/>
  <c r="G10"/>
  <c r="I10" s="1"/>
  <c r="G11"/>
  <c r="I11" s="1"/>
  <c r="G13"/>
  <c r="I13" s="1"/>
  <c r="G18"/>
  <c r="G6"/>
  <c r="I6" s="1"/>
  <c r="G104" i="6"/>
  <c r="G103"/>
  <c r="G102"/>
  <c r="C89" i="8" s="1"/>
  <c r="G101" i="6"/>
  <c r="C88" i="8" s="1"/>
  <c r="G100" i="6"/>
  <c r="C87" i="8" s="1"/>
  <c r="G99" i="6"/>
  <c r="G98"/>
  <c r="G85" i="8" s="1"/>
  <c r="C84"/>
  <c r="G96" i="6"/>
  <c r="G95"/>
  <c r="C81" i="8" s="1"/>
  <c r="G80"/>
  <c r="G92" i="6"/>
  <c r="G91"/>
  <c r="G90"/>
  <c r="G89"/>
  <c r="G55" i="5"/>
  <c r="H55" s="1"/>
  <c r="H24"/>
  <c r="H23"/>
  <c r="F14"/>
  <c r="D14"/>
  <c r="D18" i="8"/>
  <c r="D12" s="1"/>
  <c r="E12" i="10"/>
  <c r="G123" i="8" s="1"/>
  <c r="E11" i="10"/>
  <c r="G122" i="8" s="1"/>
  <c r="E10" i="10"/>
  <c r="G121" i="8" s="1"/>
  <c r="K121" s="1"/>
  <c r="A115"/>
  <c r="A18"/>
  <c r="F31" i="7"/>
  <c r="F30"/>
  <c r="C107" i="8"/>
  <c r="F29" i="7"/>
  <c r="C106" i="8" s="1"/>
  <c r="F23" i="7"/>
  <c r="F22"/>
  <c r="G103" i="8" s="1"/>
  <c r="F14" i="7"/>
  <c r="G99" i="8" s="1"/>
  <c r="F13" i="7"/>
  <c r="G98" i="8" s="1"/>
  <c r="K98" s="1"/>
  <c r="F12" i="7"/>
  <c r="G97" i="8" s="1"/>
  <c r="F7" i="7"/>
  <c r="G94" i="8" s="1"/>
  <c r="K94" s="1"/>
  <c r="F6" i="7"/>
  <c r="G93" i="8" s="1"/>
  <c r="E81" i="6"/>
  <c r="E80"/>
  <c r="E79"/>
  <c r="E78"/>
  <c r="E77"/>
  <c r="E76"/>
  <c r="E75"/>
  <c r="G67"/>
  <c r="G63"/>
  <c r="G60"/>
  <c r="G58"/>
  <c r="G57"/>
  <c r="G66" s="1"/>
  <c r="G49"/>
  <c r="G48"/>
  <c r="C69" i="8" s="1"/>
  <c r="G47" i="6"/>
  <c r="G46"/>
  <c r="C68" i="8" s="1"/>
  <c r="C67"/>
  <c r="G44" i="6"/>
  <c r="G43"/>
  <c r="G42"/>
  <c r="G41"/>
  <c r="G40"/>
  <c r="G34"/>
  <c r="G27"/>
  <c r="G25"/>
  <c r="G23"/>
  <c r="G57" i="8"/>
  <c r="G21" i="6"/>
  <c r="C55" i="8"/>
  <c r="G19" i="6"/>
  <c r="C54" i="8" s="1"/>
  <c r="G18" i="6"/>
  <c r="G50" i="8"/>
  <c r="G13" i="6"/>
  <c r="C49" i="8" s="1"/>
  <c r="G12" i="6"/>
  <c r="G48" i="8" s="1"/>
  <c r="G47"/>
  <c r="G10" i="6"/>
  <c r="G46" i="8" s="1"/>
  <c r="G8" i="6"/>
  <c r="G7"/>
  <c r="C43" i="8" s="1"/>
  <c r="G42"/>
  <c r="E62" i="5"/>
  <c r="C38" i="8" s="1"/>
  <c r="C29" s="1"/>
  <c r="C26" i="4" s="1"/>
  <c r="D26" s="1"/>
  <c r="G25" i="5"/>
  <c r="H25"/>
  <c r="G22" i="8" s="1"/>
  <c r="G10" s="1"/>
  <c r="C18"/>
  <c r="C12" s="1"/>
  <c r="K120" i="1"/>
  <c r="K119"/>
  <c r="K53"/>
  <c r="K52"/>
  <c r="I24" i="4"/>
  <c r="J32" s="1"/>
  <c r="H24"/>
  <c r="B24"/>
  <c r="G136" i="8" s="1"/>
  <c r="B14" i="4"/>
  <c r="D136" i="8" s="1"/>
  <c r="F15" i="7"/>
  <c r="J15" i="8"/>
  <c r="K89"/>
  <c r="K106"/>
  <c r="K32"/>
  <c r="K17"/>
  <c r="K11" s="1"/>
  <c r="J100"/>
  <c r="J87"/>
  <c r="J32"/>
  <c r="G119"/>
  <c r="C46"/>
  <c r="G84"/>
  <c r="K84" s="1"/>
  <c r="G54"/>
  <c r="P30" i="5"/>
  <c r="C53" s="1"/>
  <c r="D7"/>
  <c r="J16" i="8"/>
  <c r="J88"/>
  <c r="J94"/>
  <c r="J106"/>
  <c r="K90"/>
  <c r="K100"/>
  <c r="K87"/>
  <c r="J17"/>
  <c r="J11" s="1"/>
  <c r="C119" l="1"/>
  <c r="K22"/>
  <c r="G38"/>
  <c r="K31" i="4"/>
  <c r="G56" i="8"/>
  <c r="C56"/>
  <c r="G58"/>
  <c r="C58"/>
  <c r="K33"/>
  <c r="J22"/>
  <c r="C22"/>
  <c r="I29" i="4"/>
  <c r="J107" i="8"/>
  <c r="G53" i="5"/>
  <c r="H53" s="1"/>
  <c r="G81" i="8"/>
  <c r="G88" i="6"/>
  <c r="J18" i="8"/>
  <c r="J12" s="1"/>
  <c r="J121"/>
  <c r="J97"/>
  <c r="J90"/>
  <c r="J86"/>
  <c r="J33"/>
  <c r="J34" s="1"/>
  <c r="J89"/>
  <c r="K27" i="4"/>
  <c r="J33"/>
  <c r="I25"/>
  <c r="J99" i="8"/>
  <c r="I32" i="4"/>
  <c r="K117" i="1"/>
  <c r="J25" i="4"/>
  <c r="K16" i="8"/>
  <c r="K93"/>
  <c r="K95" s="1"/>
  <c r="K122"/>
  <c r="K86"/>
  <c r="K15"/>
  <c r="K18"/>
  <c r="K12" s="1"/>
  <c r="K88"/>
  <c r="K107"/>
  <c r="G49"/>
  <c r="G72"/>
  <c r="G76" s="1"/>
  <c r="K10"/>
  <c r="J108"/>
  <c r="B13" i="4"/>
  <c r="C136" i="8" s="1"/>
  <c r="C108"/>
  <c r="C14" i="5"/>
  <c r="G33" i="6"/>
  <c r="Q11" i="5"/>
  <c r="D46" s="1"/>
  <c r="P11"/>
  <c r="C46" s="1"/>
  <c r="C93" i="8"/>
  <c r="C94"/>
  <c r="C97"/>
  <c r="C98"/>
  <c r="C99"/>
  <c r="C48" i="5"/>
  <c r="G48" s="1"/>
  <c r="H48" s="1"/>
  <c r="D17" i="8"/>
  <c r="D11" s="1"/>
  <c r="C47" i="5"/>
  <c r="G47" s="1"/>
  <c r="H47" s="1"/>
  <c r="H30" i="4"/>
  <c r="G125" i="8"/>
  <c r="C125"/>
  <c r="C110"/>
  <c r="G110"/>
  <c r="I17" i="9"/>
  <c r="G21" i="10" s="1"/>
  <c r="D7" i="13" s="1"/>
  <c r="D8" s="1"/>
  <c r="G111" i="8"/>
  <c r="C111"/>
  <c r="H33" i="4"/>
  <c r="I18" i="9"/>
  <c r="G22" i="10" s="1"/>
  <c r="G112" i="8"/>
  <c r="C112"/>
  <c r="C114"/>
  <c r="G114"/>
  <c r="D21"/>
  <c r="C82"/>
  <c r="G82"/>
  <c r="G52"/>
  <c r="C52"/>
  <c r="C61"/>
  <c r="G61"/>
  <c r="G60"/>
  <c r="C60"/>
  <c r="E82" i="6"/>
  <c r="C78" i="8" s="1"/>
  <c r="C33" i="4" s="1"/>
  <c r="D33" s="1"/>
  <c r="K46" i="8"/>
  <c r="K47"/>
  <c r="K48"/>
  <c r="K50"/>
  <c r="F23"/>
  <c r="J46"/>
  <c r="J47"/>
  <c r="J48"/>
  <c r="J50"/>
  <c r="C123"/>
  <c r="C121"/>
  <c r="G79"/>
  <c r="K126"/>
  <c r="J126"/>
  <c r="D23"/>
  <c r="J98"/>
  <c r="J101" s="1"/>
  <c r="J122"/>
  <c r="C17" i="4"/>
  <c r="D17" s="1"/>
  <c r="E23" i="8"/>
  <c r="J10"/>
  <c r="K34"/>
  <c r="K108"/>
  <c r="J19"/>
  <c r="K115"/>
  <c r="J115"/>
  <c r="J84"/>
  <c r="C85"/>
  <c r="C65"/>
  <c r="G55"/>
  <c r="C48"/>
  <c r="G29"/>
  <c r="K32" i="4"/>
  <c r="H29"/>
  <c r="H32"/>
  <c r="H28"/>
  <c r="H25"/>
  <c r="H26"/>
  <c r="H5" i="8"/>
  <c r="H31" i="4"/>
  <c r="J30"/>
  <c r="J26"/>
  <c r="J31"/>
  <c r="J27"/>
  <c r="K33"/>
  <c r="K30"/>
  <c r="K28"/>
  <c r="K26"/>
  <c r="C44" i="8"/>
  <c r="G44"/>
  <c r="C63"/>
  <c r="G63"/>
  <c r="G104"/>
  <c r="J103"/>
  <c r="J104" s="1"/>
  <c r="K103"/>
  <c r="K104" s="1"/>
  <c r="C79"/>
  <c r="K99"/>
  <c r="K25" i="4"/>
  <c r="K29"/>
  <c r="J29"/>
  <c r="J28"/>
  <c r="H27"/>
  <c r="E17" i="8"/>
  <c r="E11" s="1"/>
  <c r="K118" i="1"/>
  <c r="I33" i="4"/>
  <c r="I26"/>
  <c r="G43" i="8"/>
  <c r="I5"/>
  <c r="I58" s="1"/>
  <c r="I28" i="4"/>
  <c r="I31"/>
  <c r="I27"/>
  <c r="I30"/>
  <c r="G21" i="8"/>
  <c r="C21"/>
  <c r="C23" s="1"/>
  <c r="C45"/>
  <c r="G45"/>
  <c r="K45" s="1"/>
  <c r="C53"/>
  <c r="G53"/>
  <c r="K53" s="1"/>
  <c r="C59"/>
  <c r="G59"/>
  <c r="K59" s="1"/>
  <c r="C62"/>
  <c r="G62"/>
  <c r="K62" s="1"/>
  <c r="G95"/>
  <c r="J93"/>
  <c r="J95" s="1"/>
  <c r="G101"/>
  <c r="K97"/>
  <c r="K123"/>
  <c r="J123"/>
  <c r="G7" i="5"/>
  <c r="C80" i="8"/>
  <c r="C120"/>
  <c r="C17"/>
  <c r="C11" s="1"/>
  <c r="C18" i="4" s="1"/>
  <c r="D18" s="1"/>
  <c r="C103" i="8"/>
  <c r="C104" s="1"/>
  <c r="C122"/>
  <c r="G51"/>
  <c r="K51" s="1"/>
  <c r="F18"/>
  <c r="F12" s="1"/>
  <c r="J58" l="1"/>
  <c r="H112"/>
  <c r="H58"/>
  <c r="K85"/>
  <c r="J56"/>
  <c r="K56"/>
  <c r="J85"/>
  <c r="K58"/>
  <c r="G46" i="5"/>
  <c r="H46" s="1"/>
  <c r="C72" i="8"/>
  <c r="K19"/>
  <c r="G78"/>
  <c r="C95"/>
  <c r="C101"/>
  <c r="C124"/>
  <c r="G124"/>
  <c r="G127" s="1"/>
  <c r="K34" i="4"/>
  <c r="K136" i="8" s="1"/>
  <c r="C113"/>
  <c r="C116" s="1"/>
  <c r="G113"/>
  <c r="J34" i="4"/>
  <c r="N119" i="1" s="1"/>
  <c r="N120"/>
  <c r="K43" i="8"/>
  <c r="K49"/>
  <c r="J125"/>
  <c r="K125"/>
  <c r="C31" i="4"/>
  <c r="D31" s="1"/>
  <c r="K63" i="8"/>
  <c r="K44"/>
  <c r="K55"/>
  <c r="I43"/>
  <c r="I44"/>
  <c r="I45"/>
  <c r="I46"/>
  <c r="I47"/>
  <c r="I48"/>
  <c r="I49"/>
  <c r="I50"/>
  <c r="I51"/>
  <c r="I52"/>
  <c r="I53"/>
  <c r="I54"/>
  <c r="I55"/>
  <c r="I56"/>
  <c r="I57"/>
  <c r="I59"/>
  <c r="I60"/>
  <c r="I61"/>
  <c r="I62"/>
  <c r="I63"/>
  <c r="I79"/>
  <c r="I81"/>
  <c r="I83"/>
  <c r="I80"/>
  <c r="I82"/>
  <c r="C127"/>
  <c r="G91"/>
  <c r="J81"/>
  <c r="J62"/>
  <c r="J60"/>
  <c r="J55"/>
  <c r="J53"/>
  <c r="J51"/>
  <c r="J49"/>
  <c r="J45"/>
  <c r="J43"/>
  <c r="J80"/>
  <c r="K80"/>
  <c r="K81"/>
  <c r="K60"/>
  <c r="H80"/>
  <c r="H82"/>
  <c r="H43"/>
  <c r="H44"/>
  <c r="H45"/>
  <c r="H46"/>
  <c r="H47"/>
  <c r="H48"/>
  <c r="H49"/>
  <c r="H50"/>
  <c r="H51"/>
  <c r="H52"/>
  <c r="H53"/>
  <c r="H54"/>
  <c r="H55"/>
  <c r="H56"/>
  <c r="H57"/>
  <c r="H59"/>
  <c r="H60"/>
  <c r="H61"/>
  <c r="H62"/>
  <c r="H63"/>
  <c r="H79"/>
  <c r="H81"/>
  <c r="H83"/>
  <c r="J83"/>
  <c r="J79"/>
  <c r="J63"/>
  <c r="J61"/>
  <c r="J59"/>
  <c r="J57"/>
  <c r="J54"/>
  <c r="J52"/>
  <c r="J44"/>
  <c r="J82"/>
  <c r="K82"/>
  <c r="K83"/>
  <c r="K79"/>
  <c r="K61"/>
  <c r="K57"/>
  <c r="K54"/>
  <c r="K52"/>
  <c r="K72"/>
  <c r="K76" s="1"/>
  <c r="K101"/>
  <c r="C91"/>
  <c r="H56" i="5"/>
  <c r="G56"/>
  <c r="H49"/>
  <c r="G49"/>
  <c r="K44" s="1"/>
  <c r="K114" i="8"/>
  <c r="J114"/>
  <c r="H7" i="5"/>
  <c r="H10" s="1"/>
  <c r="G10"/>
  <c r="K21" i="8"/>
  <c r="G9"/>
  <c r="G13" s="1"/>
  <c r="G23"/>
  <c r="J21"/>
  <c r="C64"/>
  <c r="C70" s="1"/>
  <c r="G64"/>
  <c r="K78"/>
  <c r="J78"/>
  <c r="H18"/>
  <c r="H12" s="1"/>
  <c r="H87"/>
  <c r="H93"/>
  <c r="H99"/>
  <c r="H107"/>
  <c r="H17"/>
  <c r="H11" s="1"/>
  <c r="H120"/>
  <c r="H42"/>
  <c r="J112"/>
  <c r="H38"/>
  <c r="H29" s="1"/>
  <c r="H72"/>
  <c r="H76" s="1"/>
  <c r="H115"/>
  <c r="H84"/>
  <c r="H119"/>
  <c r="H22"/>
  <c r="H21"/>
  <c r="H16"/>
  <c r="H10" s="1"/>
  <c r="G5"/>
  <c r="H125"/>
  <c r="H121"/>
  <c r="H98"/>
  <c r="H90"/>
  <c r="H89"/>
  <c r="H103"/>
  <c r="H104" s="1"/>
  <c r="K112"/>
  <c r="H85"/>
  <c r="H100"/>
  <c r="H33"/>
  <c r="H97"/>
  <c r="H106"/>
  <c r="H126"/>
  <c r="H15"/>
  <c r="J42"/>
  <c r="H78"/>
  <c r="H114"/>
  <c r="K42"/>
  <c r="J113"/>
  <c r="H123"/>
  <c r="H94"/>
  <c r="H86"/>
  <c r="H122"/>
  <c r="H113"/>
  <c r="K113"/>
  <c r="H110"/>
  <c r="K119"/>
  <c r="H88"/>
  <c r="H32"/>
  <c r="I111"/>
  <c r="K120"/>
  <c r="K111"/>
  <c r="H111"/>
  <c r="H34" i="4"/>
  <c r="K38" i="8"/>
  <c r="K29" s="1"/>
  <c r="J110"/>
  <c r="G116"/>
  <c r="I33"/>
  <c r="I16"/>
  <c r="I93"/>
  <c r="I121"/>
  <c r="I122"/>
  <c r="I94"/>
  <c r="I32"/>
  <c r="I78"/>
  <c r="I42"/>
  <c r="I115"/>
  <c r="I114"/>
  <c r="I112"/>
  <c r="I72"/>
  <c r="I76" s="1"/>
  <c r="I113"/>
  <c r="I119"/>
  <c r="I22"/>
  <c r="I17"/>
  <c r="I11" s="1"/>
  <c r="I18"/>
  <c r="I12" s="1"/>
  <c r="I86"/>
  <c r="I100"/>
  <c r="I123"/>
  <c r="I99"/>
  <c r="I88"/>
  <c r="I38"/>
  <c r="I29" s="1"/>
  <c r="I97"/>
  <c r="I87"/>
  <c r="I125"/>
  <c r="I98"/>
  <c r="I21"/>
  <c r="I23" s="1"/>
  <c r="I110"/>
  <c r="I126"/>
  <c r="I85"/>
  <c r="I84"/>
  <c r="I120"/>
  <c r="I90"/>
  <c r="I103"/>
  <c r="I104" s="1"/>
  <c r="I89"/>
  <c r="I15"/>
  <c r="I107"/>
  <c r="I106"/>
  <c r="F17"/>
  <c r="F11" s="1"/>
  <c r="J111"/>
  <c r="I34" i="4"/>
  <c r="J119" i="8"/>
  <c r="J72"/>
  <c r="J76" s="1"/>
  <c r="J38"/>
  <c r="J29" s="1"/>
  <c r="K110"/>
  <c r="J120"/>
  <c r="C30" i="4" l="1"/>
  <c r="M15"/>
  <c r="O15"/>
  <c r="P15" s="1"/>
  <c r="C76" i="8"/>
  <c r="C28" i="4"/>
  <c r="D28" s="1"/>
  <c r="J124" i="8"/>
  <c r="I124"/>
  <c r="I127" s="1"/>
  <c r="H124"/>
  <c r="C29" i="4"/>
  <c r="D29" s="1"/>
  <c r="K124" i="8"/>
  <c r="K127" s="1"/>
  <c r="C15"/>
  <c r="C9" s="1"/>
  <c r="K4" i="5"/>
  <c r="J136" i="8"/>
  <c r="N118" i="1"/>
  <c r="I136" i="8"/>
  <c r="N117" i="1"/>
  <c r="H136" i="8"/>
  <c r="C32" i="4"/>
  <c r="D32" s="1"/>
  <c r="K64" i="8"/>
  <c r="J64"/>
  <c r="J70" s="1"/>
  <c r="H64"/>
  <c r="H70" s="1"/>
  <c r="I64"/>
  <c r="I70" s="1"/>
  <c r="K70"/>
  <c r="G70"/>
  <c r="H95"/>
  <c r="H108"/>
  <c r="H23"/>
  <c r="J91"/>
  <c r="I108"/>
  <c r="I101"/>
  <c r="I19"/>
  <c r="I9"/>
  <c r="H9"/>
  <c r="H13" s="1"/>
  <c r="H19"/>
  <c r="I34"/>
  <c r="H34"/>
  <c r="J9"/>
  <c r="J13" s="1"/>
  <c r="J23"/>
  <c r="D15"/>
  <c r="D9" s="1"/>
  <c r="D32"/>
  <c r="C32"/>
  <c r="G36"/>
  <c r="C36"/>
  <c r="J127"/>
  <c r="I10"/>
  <c r="K116"/>
  <c r="I91"/>
  <c r="I95"/>
  <c r="H116"/>
  <c r="I116"/>
  <c r="H101"/>
  <c r="K91"/>
  <c r="K9"/>
  <c r="K13" s="1"/>
  <c r="K23"/>
  <c r="C16"/>
  <c r="C10" s="1"/>
  <c r="D16"/>
  <c r="C33"/>
  <c r="D33"/>
  <c r="D28" s="1"/>
  <c r="G37"/>
  <c r="C37"/>
  <c r="C27" i="4" s="1"/>
  <c r="D27" s="1"/>
  <c r="J116" i="8"/>
  <c r="H127"/>
  <c r="H91"/>
  <c r="M16" i="4" l="1"/>
  <c r="N15"/>
  <c r="E32" i="8" s="1"/>
  <c r="E136"/>
  <c r="N52" i="1"/>
  <c r="C28" i="8"/>
  <c r="D27"/>
  <c r="D30" s="1"/>
  <c r="D117" s="1"/>
  <c r="D34"/>
  <c r="G28"/>
  <c r="J37"/>
  <c r="J28" s="1"/>
  <c r="K37"/>
  <c r="K28" s="1"/>
  <c r="H37"/>
  <c r="H28" s="1"/>
  <c r="I37"/>
  <c r="I28" s="1"/>
  <c r="D30" i="4"/>
  <c r="D19" i="8"/>
  <c r="D10"/>
  <c r="D13" s="1"/>
  <c r="G39"/>
  <c r="J36"/>
  <c r="K36"/>
  <c r="G27"/>
  <c r="H36"/>
  <c r="I36"/>
  <c r="C19"/>
  <c r="J19" i="4"/>
  <c r="C25"/>
  <c r="C39" i="8"/>
  <c r="C27"/>
  <c r="C34"/>
  <c r="F15"/>
  <c r="O16" i="4"/>
  <c r="F16" i="8" s="1"/>
  <c r="F10" s="1"/>
  <c r="E15"/>
  <c r="C16" i="4"/>
  <c r="D16" s="1"/>
  <c r="F32" i="8"/>
  <c r="I13"/>
  <c r="C30" l="1"/>
  <c r="C117" s="1"/>
  <c r="G30"/>
  <c r="G117" s="1"/>
  <c r="G128" s="1"/>
  <c r="G137" s="1"/>
  <c r="N53" i="1"/>
  <c r="F136" i="8"/>
  <c r="D128"/>
  <c r="D137" s="1"/>
  <c r="P16" i="4"/>
  <c r="F33" i="8" s="1"/>
  <c r="F28" s="1"/>
  <c r="F27"/>
  <c r="E27"/>
  <c r="E16"/>
  <c r="E10" s="1"/>
  <c r="N16" i="4"/>
  <c r="E33" i="8" s="1"/>
  <c r="E28" s="1"/>
  <c r="F9"/>
  <c r="F13" s="1"/>
  <c r="F19"/>
  <c r="D25" i="4"/>
  <c r="D24" s="1"/>
  <c r="C24"/>
  <c r="C13" i="8"/>
  <c r="C128" s="1"/>
  <c r="C137" s="1"/>
  <c r="C15" i="4"/>
  <c r="H39" i="8"/>
  <c r="H27"/>
  <c r="H30" s="1"/>
  <c r="H117" s="1"/>
  <c r="H128" s="1"/>
  <c r="K27"/>
  <c r="K30" s="1"/>
  <c r="K117" s="1"/>
  <c r="K128" s="1"/>
  <c r="K39"/>
  <c r="E9"/>
  <c r="E13" s="1"/>
  <c r="I39"/>
  <c r="I27"/>
  <c r="I30" s="1"/>
  <c r="I117" s="1"/>
  <c r="I128" s="1"/>
  <c r="J27"/>
  <c r="J30" s="1"/>
  <c r="J117" s="1"/>
  <c r="J128" s="1"/>
  <c r="J39"/>
  <c r="F34" l="1"/>
  <c r="F30"/>
  <c r="F117" s="1"/>
  <c r="K137"/>
  <c r="I137"/>
  <c r="J137"/>
  <c r="H137"/>
  <c r="E30"/>
  <c r="E117" s="1"/>
  <c r="E128" s="1"/>
  <c r="D15" i="4"/>
  <c r="D14" s="1"/>
  <c r="D13" s="1"/>
  <c r="C14"/>
  <c r="C13" s="1"/>
  <c r="E19" i="8"/>
  <c r="E34"/>
  <c r="E137" l="1"/>
  <c r="F128"/>
  <c r="F137" s="1"/>
</calcChain>
</file>

<file path=xl/sharedStrings.xml><?xml version="1.0" encoding="utf-8"?>
<sst xmlns="http://schemas.openxmlformats.org/spreadsheetml/2006/main" count="918" uniqueCount="358">
  <si>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</si>
  <si>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</si>
  <si>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</si>
  <si>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из базового (отраслевого) перечня)</t>
  </si>
  <si>
    <t>по Сводному реестру</t>
  </si>
  <si>
    <t>по ОКВЭД</t>
  </si>
  <si>
    <t>Дата</t>
  </si>
  <si>
    <t>Форма по ОКУД</t>
  </si>
  <si>
    <t>0506001</t>
  </si>
  <si>
    <t>Коды</t>
  </si>
  <si>
    <t>УТВЕРЖДАЮ</t>
  </si>
  <si>
    <t>Часть 1. Сведения об оказываемых муниципальных услугах &lt;1&gt;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</si>
  <si>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        .</t>
    </r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</si>
  <si>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</si>
  <si>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</si>
  <si>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</si>
  <si>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</si>
  <si>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</si>
  <si>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</si>
  <si>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</si>
  <si>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</si>
  <si>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r>
      <rPr>
        <u/>
        <sz val="11"/>
        <color indexed="8"/>
        <rFont val="Times New Roman"/>
        <family val="1"/>
        <charset val="204"/>
      </rPr>
      <t xml:space="preserve">                                    </t>
    </r>
    <r>
      <rPr>
        <sz val="11"/>
        <color indexed="8"/>
        <rFont val="Times New Roman"/>
        <family val="1"/>
        <charset val="204"/>
      </rPr>
      <t>Ю.А.Голодяев</t>
    </r>
  </si>
  <si>
    <t>3.1. Показатели, характеризующие качество муниципальной услуги &lt;2&gt;:</t>
  </si>
  <si>
    <t>Уникальный номер реестровой записи</t>
  </si>
  <si>
    <t>Показатель, характеризующий содержание муниципальной услуги</t>
  </si>
  <si>
    <t>(наименование показателя)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</si>
  <si>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</si>
  <si>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</si>
  <si>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</si>
  <si>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</si>
  <si>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</si>
  <si>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</si>
  <si>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</si>
  <si>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</si>
  <si>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</si>
  <si>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</si>
  <si>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считается 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</si>
  <si>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</si>
  <si>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</si>
  <si>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</si>
  <si>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Среднеговой размер платы (цена, тариф)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</si>
  <si>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считается 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</si>
  <si>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</si>
  <si>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</si>
  <si>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</si>
  <si>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</si>
  <si>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</si>
  <si>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</si>
  <si>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</si>
  <si>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</si>
  <si>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</si>
  <si>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</si>
  <si>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</si>
  <si>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</si>
  <si>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</si>
  <si>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</si>
  <si>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5.2. Порядок 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</si>
  <si>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</si>
  <si>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</si>
  <si>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</si>
  <si>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</si>
  <si>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</si>
  <si>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</si>
  <si>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</si>
  <si>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</si>
  <si>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</si>
  <si>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</si>
  <si>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</si>
  <si>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</si>
  <si>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</si>
  <si>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</si>
  <si>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</si>
  <si>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</si>
  <si>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</si>
  <si>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</si>
  <si>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Часть 3. Прочие сведения о муниципальном задании &lt;1&gt;</t>
  </si>
  <si>
    <t>1. Основание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</si>
  <si>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</si>
  <si>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задани:я</t>
  </si>
  <si>
    <t>Форма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</si>
  <si>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</si>
  <si>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</si>
  <si>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</si>
  <si>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</si>
  <si>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</si>
  <si>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</si>
  <si>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 &lt;2&gt;</t>
  </si>
  <si>
    <t>&lt;1&gt; Заполняется вцелом по муниципальному заданию</t>
  </si>
  <si>
    <t>&lt;2&gt; В числе иных показателей может быть указано допустимое (возможное) отклонение муниципального задания, в пределах которого оно считается выполненным,</t>
  </si>
  <si>
    <t>при принятии органом, осуществляющим функции и полномочия учредителя бюджетных или автономных учреждений, решения об установлении общего допустимого (возможного)</t>
  </si>
  <si>
    <t>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</t>
  </si>
  <si>
    <t>предусмотренные в пп. 3.1 и 3.2 настоящего муниципального задания, не заполняются</t>
  </si>
  <si>
    <t>Дошкольная образовательная организация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</si>
  <si>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</si>
  <si>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</si>
  <si>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</si>
  <si>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</si>
  <si>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</si>
  <si>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</si>
  <si>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</si>
  <si>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</si>
  <si>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001. Доля детей в возрасте 1 - 3 лет, получающих дошкольную образовательную услугу в муниципальных образовательных учреждениях, в общей численности детей в возрасте 1 - 3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</si>
  <si>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Доля детей в возрасте 3 - 8 лет, получающих дошкольную образовательную услугу в муниципальных образовательных учреждениях, в общей численности детей в возрасте 3 - 8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</si>
  <si>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Процент; 002. Процент.</t>
  </si>
  <si>
    <t>001. 744; 002. 744.</t>
  </si>
  <si>
    <t>число обучающихся</t>
  </si>
  <si>
    <t>человек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</si>
  <si>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1    .</t>
    </r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</si>
  <si>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2      .</t>
    </r>
  </si>
  <si>
    <t>11.785.0</t>
  </si>
  <si>
    <t>Присмотр и уход</t>
  </si>
  <si>
    <t>Физические лица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</si>
  <si>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</si>
  <si>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</si>
  <si>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</si>
  <si>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</si>
  <si>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</si>
  <si>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</si>
  <si>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</si>
  <si>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</si>
  <si>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</si>
  <si>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</si>
  <si>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</si>
  <si>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</si>
  <si>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</si>
  <si>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</si>
  <si>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</si>
  <si>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</si>
  <si>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</si>
  <si>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Доля детей в возрасте 1 - 3 лет, получающих услугу по присмотру и уходу, в общей численности детей в возрасте 1 - 3 лет</t>
  </si>
  <si>
    <t>Доля детей в возрасте 3 - 8 лет, получающих услугу по присмотру и уходу, в общей численности детей в возрасте 3 - 8 лет</t>
  </si>
  <si>
    <t>Процент</t>
  </si>
  <si>
    <t>число детей</t>
  </si>
  <si>
    <t>приложение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</si>
  <si>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</si>
  <si>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кол-во педагогических ставок</t>
  </si>
  <si>
    <t>Оклад с учетом k специфики</t>
  </si>
  <si>
    <t>k стимулирования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</si>
  <si>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</si>
  <si>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</si>
  <si>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</si>
  <si>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</si>
  <si>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</si>
  <si>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</si>
  <si>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</si>
  <si>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</si>
  <si>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</si>
  <si>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 xml:space="preserve">вопитатели 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</si>
  <si>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</si>
  <si>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</si>
  <si>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</si>
  <si>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</si>
  <si>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</si>
  <si>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</si>
  <si>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</si>
  <si>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Субсидия</t>
  </si>
  <si>
    <t>приложение 2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</si>
  <si>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</si>
  <si>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</si>
  <si>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</si>
  <si>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 xml:space="preserve"> 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</si>
  <si>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</si>
  <si>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</si>
  <si>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</si>
  <si>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</si>
  <si>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</si>
  <si>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</si>
  <si>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</si>
  <si>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</si>
  <si>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</si>
  <si>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*</t>
  </si>
  <si>
    <t>дератизация</t>
  </si>
  <si>
    <t>АПС</t>
  </si>
  <si>
    <t>замер сопротивления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</si>
  <si>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</si>
  <si>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</si>
  <si>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</si>
  <si>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</si>
  <si>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</si>
  <si>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</si>
  <si>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</si>
  <si>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</si>
  <si>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</si>
  <si>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Электронная отчетность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</si>
  <si>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</si>
  <si>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</si>
  <si>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</si>
  <si>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</si>
  <si>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Тревожная кнопка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</si>
  <si>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</si>
  <si>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</si>
  <si>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</si>
  <si>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</si>
  <si>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</si>
  <si>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</si>
  <si>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</si>
  <si>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</si>
  <si>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</si>
  <si>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</si>
  <si>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Определение нормативных затрат на оказание муниципальной услуги</t>
  </si>
  <si>
    <t>Объем приобретаемых муниципальных услуг (выполняемых работ) в стоимостных показателях</t>
  </si>
  <si>
    <t xml:space="preserve">Наименование приобретаемых муниципальных услуг </t>
  </si>
  <si>
    <t>Единица измерения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</si>
  <si>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</si>
  <si>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</si>
  <si>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</si>
  <si>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</si>
  <si>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</si>
  <si>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</si>
  <si>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</si>
  <si>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 xml:space="preserve"> затраты на доп. проф. образование педагогических работников</t>
  </si>
  <si>
    <t>1.1 В том числе затраты, непосредственно связанные с оказанием муниципальной услуги. (за счет бюджета Пензенской области)</t>
  </si>
  <si>
    <t>1.2 В том числе затраты, непосредственно связанные с оказанием муниципальной услуги. (за счет бюджета города Пензы)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</si>
  <si>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</si>
  <si>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</si>
  <si>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</si>
  <si>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</si>
  <si>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компенсационные выплаты по уходу за ребенком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</si>
  <si>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</si>
  <si>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</si>
  <si>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</si>
  <si>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</si>
  <si>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 xml:space="preserve">приобретение услуг связи </t>
  </si>
  <si>
    <t>2.4.Прочие нормативные затраты на общехозяйственные нужды (приложение3)</t>
  </si>
  <si>
    <t xml:space="preserve">Всего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</si>
  <si>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</si>
  <si>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(приложение3)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</si>
  <si>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</si>
  <si>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</si>
  <si>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</si>
  <si>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холодное водоснабжение</t>
  </si>
  <si>
    <t>водоотведение</t>
  </si>
  <si>
    <t>тепловая  энергия</t>
  </si>
  <si>
    <t>электрическая энергия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</si>
  <si>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</si>
  <si>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</si>
  <si>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</si>
  <si>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</si>
  <si>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транспортный налог</t>
  </si>
  <si>
    <t>экологический сбор</t>
  </si>
  <si>
    <t>гос.пошлина</t>
  </si>
  <si>
    <t>Всего по учреждению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</si>
  <si>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</si>
  <si>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</si>
  <si>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</si>
  <si>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</si>
  <si>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м3</t>
  </si>
  <si>
    <t>горячее водоснабжение</t>
  </si>
  <si>
    <t>гКал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</si>
  <si>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</si>
  <si>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</si>
  <si>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</si>
  <si>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</si>
  <si>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</si>
  <si>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</si>
  <si>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</si>
  <si>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Расчет норматива затрат, непосредственно связанных с оказанием муниципальной услуги</t>
  </si>
  <si>
    <t xml:space="preserve">воспитатели </t>
  </si>
  <si>
    <t>Расчет норматива затрат, непосредственно  не связанных с оказанием муниципальной услуги</t>
  </si>
  <si>
    <t>интернет</t>
  </si>
  <si>
    <t>Гл.бухгалтер</t>
  </si>
  <si>
    <t>тех.обслуживание домофона</t>
  </si>
  <si>
    <t>тех.обслуживание видеонаблюдения</t>
  </si>
  <si>
    <t>тех.обслуживание бассейна</t>
  </si>
  <si>
    <t>тех.обслуживание радиомодема</t>
  </si>
  <si>
    <t>тех.обслуживание теплосчетчиков</t>
  </si>
  <si>
    <t>тех.обслуживание узлов регулирования</t>
  </si>
  <si>
    <t>поверка весов, манометров</t>
  </si>
  <si>
    <t>ТО оборудования</t>
  </si>
  <si>
    <t>Лабораторные исследования</t>
  </si>
  <si>
    <t>Очистка кровли</t>
  </si>
  <si>
    <t>Утилизация отходов (ртутосодержащие лампы)</t>
  </si>
  <si>
    <t>Противопожарные мероприятия:</t>
  </si>
  <si>
    <t>Огнезащитная обработка</t>
  </si>
  <si>
    <t>Заправка и ТО огнетушителей</t>
  </si>
  <si>
    <t>Оценка качества огнезащитных работ</t>
  </si>
  <si>
    <t>Испытание электрозащиты</t>
  </si>
  <si>
    <t>Обслуживание системы пожаротушения</t>
  </si>
  <si>
    <t>Медосмотр всего:</t>
  </si>
  <si>
    <t>женщины</t>
  </si>
  <si>
    <t>мужчины</t>
  </si>
  <si>
    <t>маммография</t>
  </si>
  <si>
    <t>рентген</t>
  </si>
  <si>
    <t>1С сопровождение</t>
  </si>
  <si>
    <t>Подписка</t>
  </si>
  <si>
    <t>Курсы повышения квалификации</t>
  </si>
  <si>
    <t>Договор подряда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</si>
  <si>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</si>
  <si>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лет до 8 лет)</t>
  </si>
  <si>
    <t>Присмотр и уход (от 1 года до 3 лет)</t>
  </si>
  <si>
    <t>Присмотр и уход (от 3 лет до 8 лет)</t>
  </si>
  <si>
    <t>Присмотр и уход (дети-инвалиды от 1 года до 3 лет)</t>
  </si>
  <si>
    <t>Присмотр и уход (дети-инвалиды от 3 лет до 8 лет)</t>
  </si>
  <si>
    <t>Наименование муниципальной услуги</t>
  </si>
  <si>
    <t>объем муниципальных услуг в натуральных показателях</t>
  </si>
  <si>
    <t xml:space="preserve">Присмотр и уход </t>
  </si>
  <si>
    <t>Приказ</t>
  </si>
  <si>
    <t>Управление образования города Пензы</t>
  </si>
  <si>
    <t>на официальном сайте учреждения</t>
  </si>
  <si>
    <t>приним</t>
  </si>
  <si>
    <t>не приним</t>
  </si>
  <si>
    <t xml:space="preserve">Наименование муниципального учреждения: </t>
  </si>
  <si>
    <t>Заведующий</t>
  </si>
  <si>
    <t>Перевыпуск сертификатов ЭЦП</t>
  </si>
  <si>
    <t>Объем компонента тепловой энергии в горячей воде</t>
  </si>
  <si>
    <t>тех.обслуживание кнопки тревожной сигнализации</t>
  </si>
  <si>
    <t>Тех.обслуж.прибора учета ТЭР</t>
  </si>
  <si>
    <t>Поверка и ремонт теплосчетчиков, счетчиков электрической энергии</t>
  </si>
  <si>
    <t>Поверка вентиляционных каналов</t>
  </si>
  <si>
    <t>Поверка пожарных гидрантов</t>
  </si>
  <si>
    <t>Испытания пожарных кранов</t>
  </si>
  <si>
    <t>Курсы повышния квалификаци</t>
  </si>
  <si>
    <t xml:space="preserve">электрическая энергия 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</si>
  <si>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</si>
  <si>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</si>
  <si>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1 раз в год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</si>
  <si>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задания", не позднее 1 февраля финансового года, следующего за отчетным</t>
  </si>
  <si>
    <t>Проверка работоспособности источника внутреннего противопожарного водопровода</t>
  </si>
  <si>
    <t>11.Д45.0</t>
  </si>
  <si>
    <t>567010000131001520311Д45000301000201066100102</t>
  </si>
  <si>
    <t>567010000131001520311Д45000301000301065100102</t>
  </si>
  <si>
    <t>группа полного дня</t>
  </si>
  <si>
    <t>567010000131001520311785004300200009004100102</t>
  </si>
  <si>
    <t>567010000131001520311785004300300009002100102</t>
  </si>
  <si>
    <t>567010000131001520311785000500200009000100102</t>
  </si>
  <si>
    <t>567010000131001520311785000500300009008100102</t>
  </si>
  <si>
    <t>среднегодовое на 2017 год</t>
  </si>
  <si>
    <t>кол-во детей на 01.01.2017</t>
  </si>
  <si>
    <t>кол-во детей на 01.09.2017</t>
  </si>
  <si>
    <t>инвалиды на 01.01.2017</t>
  </si>
  <si>
    <t>инвалиды на 01.09.2017</t>
  </si>
  <si>
    <t>2017 год (очередной финансовый год)</t>
  </si>
  <si>
    <t>2018 год (1-й год планового периода)</t>
  </si>
  <si>
    <t>2019 год (2-й год планового периода)</t>
  </si>
  <si>
    <t>20198 год (2-й год планового периода)</t>
  </si>
  <si>
    <t>среднегодовое на 2018 год</t>
  </si>
  <si>
    <t>кол-во детей на 01.01.2018</t>
  </si>
  <si>
    <t>кол-во детей на 01.09.2018</t>
  </si>
  <si>
    <t>инвалиды на 01.01.2018</t>
  </si>
  <si>
    <t>инвалиды на 01.09.2018</t>
  </si>
  <si>
    <t>среднегодовое на 2019 год</t>
  </si>
  <si>
    <t>кол-во детей на 01.01.2019</t>
  </si>
  <si>
    <t>кол-во детей на 01.09.2019</t>
  </si>
  <si>
    <t xml:space="preserve">Об установлении нормативов на оказание муниципальных услуг (выполнение работ) на 2017 год и плановый период 2018 и 2019 годов в муниципальных учреждениях образования города Пензы, в отношении которых функции и полномочия осуществляет Управление образования города Пензы.
</t>
  </si>
  <si>
    <t>Закон Пензенской области</t>
  </si>
  <si>
    <t>Законодательное собрание Пензенской области</t>
  </si>
  <si>
    <t>2999-ЗПО</t>
  </si>
  <si>
    <t>Об установлении нормативов финансового обеспечения образовательной деятельности в Пензенской области</t>
  </si>
  <si>
    <t>Муниципальное бюджетное дошкольное образовательное учреждение детский сад № 19 г. Пензы "Катюша"</t>
  </si>
  <si>
    <t>МУНИЦИПАЛЬНОЕ ЗАДАНИЕ № 2D225</t>
  </si>
  <si>
    <t>на 2017 и плановый период 2018 и 2019 годов.</t>
  </si>
  <si>
    <r>
      <t>"</t>
    </r>
    <r>
      <rPr>
        <u/>
        <sz val="11"/>
        <color indexed="8"/>
        <rFont val="Times New Roman"/>
        <family val="1"/>
        <charset val="204"/>
      </rPr>
      <t xml:space="preserve"> 09__  </t>
    </r>
    <r>
      <rPr>
        <sz val="11"/>
        <color indexed="8"/>
        <rFont val="Times New Roman"/>
        <family val="1"/>
        <charset val="204"/>
      </rPr>
      <t xml:space="preserve">" </t>
    </r>
    <r>
      <rPr>
        <u/>
        <sz val="11"/>
        <color indexed="8"/>
        <rFont val="Times New Roman"/>
        <family val="1"/>
        <charset val="204"/>
      </rPr>
      <t xml:space="preserve">  _января_______   </t>
    </r>
    <r>
      <rPr>
        <sz val="11"/>
        <color indexed="8"/>
        <rFont val="Times New Roman"/>
        <family val="1"/>
        <charset val="204"/>
      </rPr>
      <t>2017</t>
    </r>
    <r>
      <rPr>
        <u/>
        <sz val="11"/>
        <color indexed="8"/>
        <rFont val="Times New Roman"/>
        <family val="1"/>
        <charset val="204"/>
      </rPr>
      <t xml:space="preserve">     </t>
    </r>
    <r>
      <rPr>
        <sz val="11"/>
        <color indexed="8"/>
        <rFont val="Times New Roman"/>
        <family val="1"/>
        <charset val="204"/>
      </rPr>
      <t>г.</t>
    </r>
  </si>
  <si>
    <t>ТО пожарной сигнализации</t>
  </si>
  <si>
    <t>ТО видеонаблюдения</t>
  </si>
  <si>
    <t>85.11</t>
  </si>
  <si>
    <t xml:space="preserve">Заведующий МБДОУ </t>
  </si>
  <si>
    <t>Л.Н. Воробьева</t>
  </si>
  <si>
    <t>О.С. Горячева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</si>
</sst>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3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Arial Cyr"/>
      <charset val="204"/>
    </font>
    <font>
      <u/>
      <sz val="14"/>
      <color indexed="8"/>
      <name val="Times New Roman"/>
      <family val="1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u/>
      <sz val="12"/>
      <name val="Verdana"/>
      <family val="2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28" fillId="0" borderId="0"/>
    <xf numFmtId="164" fontId="28" fillId="0" borderId="0" applyFont="0" applyFill="0" applyBorder="0" applyAlignment="0" applyProtection="0"/>
  </cellStyleXfs>
  <cellXfs count="463">
    <xf numFmtId="0" fontId="0" fillId="0" borderId="0" xfId="0"/>
    <xf numFmtId="0" fontId="29" fillId="0" borderId="0" xfId="0" applyFont="1"/>
    <xf numFmtId="0" fontId="29" fillId="0" borderId="0" xfId="0" applyFont="1" applyBorder="1"/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29" fillId="0" borderId="0" xfId="0" applyFont="1" applyBorder="1" applyAlignment="1"/>
    <xf numFmtId="0" fontId="31" fillId="0" borderId="1" xfId="0" applyFont="1" applyBorder="1" applyAlignment="1">
      <alignment horizontal="center"/>
    </xf>
    <xf numFmtId="0" fontId="2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29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29" fillId="0" borderId="2" xfId="0" applyFont="1" applyBorder="1"/>
    <xf numFmtId="0" fontId="32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0" fontId="33" fillId="0" borderId="0" xfId="0" applyFont="1"/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10" fillId="0" borderId="0" xfId="1"/>
    <xf numFmtId="0" fontId="10" fillId="0" borderId="1" xfId="1" applyBorder="1"/>
    <xf numFmtId="0" fontId="12" fillId="0" borderId="1" xfId="1" applyFont="1" applyBorder="1"/>
    <xf numFmtId="4" fontId="12" fillId="0" borderId="1" xfId="1" applyNumberFormat="1" applyFont="1" applyBorder="1"/>
    <xf numFmtId="4" fontId="12" fillId="0" borderId="0" xfId="1" applyNumberFormat="1" applyFont="1"/>
    <xf numFmtId="0" fontId="12" fillId="0" borderId="0" xfId="1" applyFont="1"/>
    <xf numFmtId="4" fontId="10" fillId="0" borderId="1" xfId="1" applyNumberFormat="1" applyBorder="1"/>
    <xf numFmtId="4" fontId="10" fillId="0" borderId="1" xfId="1" applyNumberFormat="1" applyBorder="1" applyProtection="1">
      <protection locked="0"/>
    </xf>
    <xf numFmtId="4" fontId="1" fillId="0" borderId="1" xfId="2" applyNumberFormat="1" applyFont="1" applyBorder="1" applyAlignment="1">
      <alignment vertical="top" wrapText="1"/>
    </xf>
    <xf numFmtId="4" fontId="10" fillId="0" borderId="0" xfId="1" applyNumberFormat="1"/>
    <xf numFmtId="0" fontId="10" fillId="0" borderId="0" xfId="1" applyAlignment="1"/>
    <xf numFmtId="0" fontId="10" fillId="0" borderId="0" xfId="1" applyNumberFormat="1" applyAlignment="1">
      <alignment wrapText="1"/>
    </xf>
    <xf numFmtId="4" fontId="10" fillId="0" borderId="0" xfId="1" applyNumberFormat="1" applyFont="1"/>
    <xf numFmtId="0" fontId="13" fillId="0" borderId="0" xfId="1" applyFont="1" applyAlignment="1">
      <alignment horizontal="center" wrapText="1"/>
    </xf>
    <xf numFmtId="0" fontId="10" fillId="0" borderId="0" xfId="1" applyAlignment="1">
      <alignment wrapText="1"/>
    </xf>
    <xf numFmtId="4" fontId="12" fillId="0" borderId="1" xfId="1" applyNumberFormat="1" applyFont="1" applyBorder="1" applyProtection="1">
      <protection locked="0"/>
    </xf>
    <xf numFmtId="0" fontId="10" fillId="8" borderId="1" xfId="1" applyFill="1" applyBorder="1"/>
    <xf numFmtId="4" fontId="1" fillId="8" borderId="1" xfId="2" applyNumberFormat="1" applyFont="1" applyFill="1" applyBorder="1" applyAlignment="1">
      <alignment vertical="top" wrapText="1"/>
    </xf>
    <xf numFmtId="4" fontId="10" fillId="8" borderId="1" xfId="1" applyNumberFormat="1" applyFill="1" applyBorder="1" applyProtection="1">
      <protection locked="0"/>
    </xf>
    <xf numFmtId="4" fontId="34" fillId="0" borderId="1" xfId="0" applyNumberFormat="1" applyFont="1" applyBorder="1" applyAlignment="1">
      <alignment wrapText="1"/>
    </xf>
    <xf numFmtId="0" fontId="33" fillId="0" borderId="1" xfId="0" applyFont="1" applyBorder="1" applyAlignment="1">
      <alignment horizontal="center" wrapText="1"/>
    </xf>
    <xf numFmtId="0" fontId="14" fillId="0" borderId="0" xfId="1" applyFont="1"/>
    <xf numFmtId="0" fontId="15" fillId="0" borderId="0" xfId="1" applyFont="1" applyBorder="1" applyAlignment="1">
      <alignment horizontal="center" wrapText="1"/>
    </xf>
    <xf numFmtId="0" fontId="14" fillId="0" borderId="0" xfId="1" applyFont="1" applyAlignment="1">
      <alignment wrapText="1"/>
    </xf>
    <xf numFmtId="0" fontId="3" fillId="0" borderId="0" xfId="1" applyFont="1"/>
    <xf numFmtId="0" fontId="16" fillId="0" borderId="0" xfId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7" fillId="0" borderId="0" xfId="1" applyFont="1" applyBorder="1" applyAlignment="1">
      <alignment horizontal="center" wrapText="1"/>
    </xf>
    <xf numFmtId="0" fontId="3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0" xfId="1" applyFont="1" applyFill="1"/>
    <xf numFmtId="0" fontId="3" fillId="0" borderId="8" xfId="1" applyFont="1" applyBorder="1" applyAlignment="1">
      <alignment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0" fontId="3" fillId="0" borderId="1" xfId="1" applyFont="1" applyBorder="1"/>
    <xf numFmtId="0" fontId="3" fillId="0" borderId="10" xfId="1" applyFont="1" applyBorder="1" applyAlignment="1">
      <alignment wrapText="1"/>
    </xf>
    <xf numFmtId="2" fontId="3" fillId="0" borderId="11" xfId="1" applyNumberFormat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1" xfId="1" applyFont="1" applyBorder="1" applyAlignment="1">
      <alignment wrapText="1"/>
    </xf>
    <xf numFmtId="4" fontId="3" fillId="0" borderId="11" xfId="1" applyNumberFormat="1" applyFont="1" applyBorder="1" applyAlignment="1">
      <alignment wrapText="1"/>
    </xf>
    <xf numFmtId="4" fontId="3" fillId="0" borderId="13" xfId="1" applyNumberFormat="1" applyFont="1" applyBorder="1" applyAlignment="1">
      <alignment wrapText="1"/>
    </xf>
    <xf numFmtId="0" fontId="3" fillId="2" borderId="1" xfId="1" applyFont="1" applyFill="1" applyBorder="1"/>
    <xf numFmtId="4" fontId="3" fillId="0" borderId="14" xfId="1" applyNumberFormat="1" applyFont="1" applyBorder="1" applyAlignment="1">
      <alignment wrapText="1"/>
    </xf>
    <xf numFmtId="4" fontId="3" fillId="0" borderId="15" xfId="1" applyNumberFormat="1" applyFont="1" applyBorder="1" applyAlignment="1">
      <alignment wrapText="1"/>
    </xf>
    <xf numFmtId="4" fontId="3" fillId="0" borderId="0" xfId="1" applyNumberFormat="1" applyFont="1" applyAlignment="1">
      <alignment wrapText="1"/>
    </xf>
    <xf numFmtId="0" fontId="3" fillId="0" borderId="5" xfId="1" applyFont="1" applyBorder="1"/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10" fillId="0" borderId="0" xfId="1" applyFont="1"/>
    <xf numFmtId="0" fontId="18" fillId="0" borderId="0" xfId="1" applyFont="1" applyFill="1"/>
    <xf numFmtId="0" fontId="10" fillId="0" borderId="0" xfId="1" applyFont="1" applyFill="1"/>
    <xf numFmtId="0" fontId="10" fillId="0" borderId="1" xfId="1" applyFont="1" applyFill="1" applyBorder="1"/>
    <xf numFmtId="2" fontId="3" fillId="2" borderId="1" xfId="1" applyNumberFormat="1" applyFont="1" applyFill="1" applyBorder="1"/>
    <xf numFmtId="0" fontId="10" fillId="0" borderId="0" xfId="1" applyFont="1" applyFill="1" applyBorder="1"/>
    <xf numFmtId="0" fontId="3" fillId="0" borderId="0" xfId="1" applyFont="1" applyBorder="1"/>
    <xf numFmtId="0" fontId="10" fillId="0" borderId="0" xfId="1" applyFont="1" applyAlignment="1"/>
    <xf numFmtId="0" fontId="10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3" fillId="0" borderId="9" xfId="1" applyFont="1" applyBorder="1" applyAlignment="1">
      <alignment wrapText="1"/>
    </xf>
    <xf numFmtId="4" fontId="10" fillId="0" borderId="0" xfId="1" applyNumberFormat="1" applyAlignment="1">
      <alignment wrapText="1"/>
    </xf>
    <xf numFmtId="0" fontId="3" fillId="0" borderId="17" xfId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3" fillId="0" borderId="0" xfId="1" applyFont="1" applyBorder="1" applyAlignment="1">
      <alignment wrapText="1"/>
    </xf>
    <xf numFmtId="4" fontId="3" fillId="0" borderId="0" xfId="1" applyNumberFormat="1" applyFont="1" applyBorder="1" applyAlignment="1">
      <alignment wrapText="1"/>
    </xf>
    <xf numFmtId="0" fontId="10" fillId="0" borderId="0" xfId="1" applyBorder="1" applyAlignment="1">
      <alignment horizontal="center"/>
    </xf>
    <xf numFmtId="0" fontId="10" fillId="0" borderId="0" xfId="1" applyBorder="1"/>
    <xf numFmtId="0" fontId="3" fillId="0" borderId="8" xfId="1" applyFont="1" applyBorder="1" applyAlignment="1">
      <alignment vertical="center" wrapText="1"/>
    </xf>
    <xf numFmtId="0" fontId="3" fillId="0" borderId="18" xfId="1" applyFont="1" applyBorder="1" applyAlignment="1">
      <alignment vertical="center" wrapText="1"/>
    </xf>
    <xf numFmtId="0" fontId="10" fillId="0" borderId="19" xfId="1" applyBorder="1"/>
    <xf numFmtId="0" fontId="10" fillId="0" borderId="16" xfId="1" applyBorder="1" applyAlignment="1">
      <alignment wrapText="1"/>
    </xf>
    <xf numFmtId="0" fontId="10" fillId="0" borderId="11" xfId="1" applyBorder="1"/>
    <xf numFmtId="0" fontId="10" fillId="0" borderId="13" xfId="1" applyBorder="1"/>
    <xf numFmtId="0" fontId="10" fillId="0" borderId="0" xfId="1" applyBorder="1" applyAlignment="1">
      <alignment wrapText="1"/>
    </xf>
    <xf numFmtId="0" fontId="10" fillId="0" borderId="0" xfId="1" applyFill="1" applyBorder="1"/>
    <xf numFmtId="0" fontId="10" fillId="0" borderId="5" xfId="1" applyBorder="1" applyAlignment="1">
      <alignment wrapText="1"/>
    </xf>
    <xf numFmtId="0" fontId="10" fillId="0" borderId="6" xfId="1" applyBorder="1" applyAlignment="1">
      <alignment wrapText="1"/>
    </xf>
    <xf numFmtId="0" fontId="10" fillId="0" borderId="7" xfId="1" applyBorder="1" applyAlignment="1">
      <alignment wrapText="1"/>
    </xf>
    <xf numFmtId="0" fontId="10" fillId="0" borderId="9" xfId="1" applyBorder="1"/>
    <xf numFmtId="0" fontId="20" fillId="0" borderId="0" xfId="1" applyFont="1"/>
    <xf numFmtId="0" fontId="2" fillId="0" borderId="0" xfId="1" applyFont="1"/>
    <xf numFmtId="0" fontId="19" fillId="0" borderId="0" xfId="1" applyFont="1"/>
    <xf numFmtId="0" fontId="9" fillId="0" borderId="1" xfId="1" applyFont="1" applyBorder="1" applyAlignment="1">
      <alignment wrapText="1"/>
    </xf>
    <xf numFmtId="0" fontId="10" fillId="0" borderId="1" xfId="1" applyBorder="1" applyAlignment="1">
      <alignment wrapText="1"/>
    </xf>
    <xf numFmtId="0" fontId="7" fillId="0" borderId="1" xfId="1" applyFont="1" applyBorder="1" applyAlignment="1">
      <alignment horizontal="left" wrapText="1"/>
    </xf>
    <xf numFmtId="0" fontId="1" fillId="0" borderId="1" xfId="1" applyFont="1" applyBorder="1"/>
    <xf numFmtId="0" fontId="8" fillId="0" borderId="1" xfId="1" applyFont="1" applyBorder="1"/>
    <xf numFmtId="0" fontId="8" fillId="0" borderId="0" xfId="1" applyFont="1" applyBorder="1"/>
    <xf numFmtId="0" fontId="14" fillId="0" borderId="0" xfId="1" applyFont="1" applyAlignment="1">
      <alignment horizontal="center"/>
    </xf>
    <xf numFmtId="2" fontId="10" fillId="0" borderId="0" xfId="1" applyNumberFormat="1"/>
    <xf numFmtId="0" fontId="3" fillId="3" borderId="8" xfId="1" applyFont="1" applyFill="1" applyBorder="1" applyAlignment="1">
      <alignment vertical="top" wrapText="1"/>
    </xf>
    <xf numFmtId="0" fontId="21" fillId="0" borderId="0" xfId="1" applyFont="1" applyAlignment="1">
      <alignment wrapText="1"/>
    </xf>
    <xf numFmtId="0" fontId="21" fillId="0" borderId="5" xfId="1" applyFont="1" applyBorder="1" applyAlignment="1">
      <alignment wrapText="1"/>
    </xf>
    <xf numFmtId="0" fontId="3" fillId="0" borderId="16" xfId="1" applyFont="1" applyBorder="1"/>
    <xf numFmtId="0" fontId="14" fillId="0" borderId="1" xfId="1" applyFont="1" applyBorder="1" applyAlignment="1">
      <alignment horizontal="center" wrapText="1"/>
    </xf>
    <xf numFmtId="0" fontId="10" fillId="2" borderId="0" xfId="1" applyFont="1" applyFill="1"/>
    <xf numFmtId="0" fontId="10" fillId="4" borderId="0" xfId="1" applyFont="1" applyFill="1"/>
    <xf numFmtId="0" fontId="10" fillId="3" borderId="0" xfId="1" applyFont="1" applyFill="1"/>
    <xf numFmtId="0" fontId="10" fillId="5" borderId="0" xfId="1" applyFont="1" applyFill="1"/>
    <xf numFmtId="0" fontId="3" fillId="0" borderId="8" xfId="1" applyFont="1" applyBorder="1"/>
    <xf numFmtId="0" fontId="10" fillId="6" borderId="0" xfId="1" applyFont="1" applyFill="1"/>
    <xf numFmtId="0" fontId="10" fillId="0" borderId="0" xfId="1" applyFont="1" applyProtection="1">
      <protection locked="0"/>
    </xf>
    <xf numFmtId="0" fontId="21" fillId="0" borderId="6" xfId="1" applyFont="1" applyBorder="1" applyAlignment="1">
      <alignment horizontal="center" wrapText="1"/>
    </xf>
    <xf numFmtId="0" fontId="10" fillId="0" borderId="1" xfId="1" applyFont="1" applyBorder="1" applyAlignment="1">
      <alignment horizontal="right"/>
    </xf>
    <xf numFmtId="0" fontId="10" fillId="0" borderId="5" xfId="1" applyFont="1" applyBorder="1" applyAlignment="1">
      <alignment wrapText="1"/>
    </xf>
    <xf numFmtId="0" fontId="3" fillId="0" borderId="6" xfId="1" applyFont="1" applyBorder="1"/>
    <xf numFmtId="0" fontId="10" fillId="0" borderId="0" xfId="1" applyFont="1" applyAlignment="1">
      <alignment wrapText="1"/>
    </xf>
    <xf numFmtId="0" fontId="1" fillId="0" borderId="20" xfId="2" applyFont="1" applyBorder="1" applyAlignment="1">
      <alignment wrapText="1"/>
    </xf>
    <xf numFmtId="10" fontId="10" fillId="0" borderId="1" xfId="1" applyNumberFormat="1" applyBorder="1"/>
    <xf numFmtId="4" fontId="10" fillId="0" borderId="9" xfId="1" applyNumberFormat="1" applyBorder="1"/>
    <xf numFmtId="0" fontId="1" fillId="0" borderId="8" xfId="2" applyFont="1" applyBorder="1" applyAlignment="1">
      <alignment wrapText="1"/>
    </xf>
    <xf numFmtId="0" fontId="1" fillId="0" borderId="8" xfId="2" applyFont="1" applyBorder="1"/>
    <xf numFmtId="0" fontId="1" fillId="0" borderId="16" xfId="2" applyFont="1" applyBorder="1"/>
    <xf numFmtId="0" fontId="17" fillId="0" borderId="0" xfId="1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0" fillId="0" borderId="0" xfId="1" applyFont="1" applyBorder="1"/>
    <xf numFmtId="0" fontId="10" fillId="0" borderId="21" xfId="1" applyFont="1" applyBorder="1"/>
    <xf numFmtId="0" fontId="10" fillId="0" borderId="21" xfId="1" applyFont="1" applyBorder="1" applyAlignment="1"/>
    <xf numFmtId="4" fontId="10" fillId="0" borderId="1" xfId="1" applyNumberFormat="1" applyFill="1" applyBorder="1"/>
    <xf numFmtId="4" fontId="10" fillId="0" borderId="11" xfId="1" applyNumberFormat="1" applyFill="1" applyBorder="1"/>
    <xf numFmtId="4" fontId="10" fillId="0" borderId="13" xfId="1" applyNumberFormat="1" applyBorder="1"/>
    <xf numFmtId="4" fontId="10" fillId="3" borderId="9" xfId="1" applyNumberFormat="1" applyFill="1" applyBorder="1"/>
    <xf numFmtId="0" fontId="24" fillId="0" borderId="8" xfId="1" applyFont="1" applyBorder="1" applyAlignment="1">
      <alignment wrapText="1"/>
    </xf>
    <xf numFmtId="0" fontId="10" fillId="0" borderId="22" xfId="1" applyBorder="1"/>
    <xf numFmtId="4" fontId="10" fillId="3" borderId="23" xfId="1" applyNumberFormat="1" applyFill="1" applyBorder="1"/>
    <xf numFmtId="0" fontId="3" fillId="0" borderId="1" xfId="1" applyNumberFormat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10" fillId="0" borderId="0" xfId="1" applyNumberFormat="1" applyFont="1" applyFill="1"/>
    <xf numFmtId="0" fontId="3" fillId="0" borderId="1" xfId="1" applyNumberFormat="1" applyFont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vertical="top" wrapText="1"/>
    </xf>
    <xf numFmtId="0" fontId="10" fillId="0" borderId="0" xfId="1" applyNumberFormat="1" applyFont="1"/>
    <xf numFmtId="0" fontId="10" fillId="0" borderId="0" xfId="1" applyNumberFormat="1" applyFont="1" applyAlignment="1">
      <alignment horizontal="center"/>
    </xf>
    <xf numFmtId="0" fontId="10" fillId="0" borderId="0" xfId="1" applyNumberFormat="1" applyAlignment="1"/>
    <xf numFmtId="0" fontId="10" fillId="0" borderId="21" xfId="1" applyNumberFormat="1" applyFont="1" applyBorder="1"/>
    <xf numFmtId="0" fontId="10" fillId="0" borderId="21" xfId="1" applyNumberFormat="1" applyFont="1" applyBorder="1" applyAlignment="1"/>
    <xf numFmtId="0" fontId="10" fillId="0" borderId="0" xfId="1" applyNumberFormat="1"/>
    <xf numFmtId="0" fontId="27" fillId="0" borderId="0" xfId="1" applyFont="1" applyBorder="1" applyAlignment="1">
      <alignment horizontal="center" wrapText="1"/>
    </xf>
    <xf numFmtId="0" fontId="6" fillId="0" borderId="1" xfId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2" borderId="1" xfId="1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wrapText="1"/>
    </xf>
    <xf numFmtId="0" fontId="3" fillId="2" borderId="1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3" fillId="4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vertical="top" wrapText="1"/>
    </xf>
    <xf numFmtId="0" fontId="3" fillId="6" borderId="1" xfId="1" applyNumberFormat="1" applyFont="1" applyFill="1" applyBorder="1" applyAlignment="1">
      <alignment vertical="top" wrapText="1"/>
    </xf>
    <xf numFmtId="0" fontId="3" fillId="6" borderId="1" xfId="1" applyNumberFormat="1" applyFont="1" applyFill="1" applyBorder="1" applyAlignment="1">
      <alignment horizontal="center" vertical="top" wrapText="1"/>
    </xf>
    <xf numFmtId="0" fontId="3" fillId="7" borderId="1" xfId="1" applyNumberFormat="1" applyFont="1" applyFill="1" applyBorder="1" applyAlignment="1">
      <alignment vertical="top" wrapText="1"/>
    </xf>
    <xf numFmtId="0" fontId="3" fillId="7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Border="1"/>
    <xf numFmtId="0" fontId="22" fillId="0" borderId="1" xfId="1" applyNumberFormat="1" applyFont="1" applyFill="1" applyBorder="1" applyAlignment="1">
      <alignment vertical="top" wrapText="1"/>
    </xf>
    <xf numFmtId="0" fontId="10" fillId="0" borderId="1" xfId="1" applyFont="1" applyBorder="1"/>
    <xf numFmtId="0" fontId="6" fillId="7" borderId="1" xfId="1" applyNumberFormat="1" applyFont="1" applyFill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/>
    </xf>
    <xf numFmtId="4" fontId="3" fillId="7" borderId="1" xfId="1" applyNumberFormat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/>
    </xf>
    <xf numFmtId="4" fontId="3" fillId="4" borderId="1" xfId="1" applyNumberFormat="1" applyFont="1" applyFill="1" applyBorder="1" applyAlignment="1">
      <alignment horizontal="center" vertical="top" wrapText="1"/>
    </xf>
    <xf numFmtId="4" fontId="3" fillId="3" borderId="1" xfId="1" applyNumberFormat="1" applyFont="1" applyFill="1" applyBorder="1" applyAlignment="1">
      <alignment horizontal="center" vertical="top" wrapText="1"/>
    </xf>
    <xf numFmtId="4" fontId="3" fillId="6" borderId="1" xfId="1" applyNumberFormat="1" applyFont="1" applyFill="1" applyBorder="1" applyAlignment="1">
      <alignment horizontal="center" vertical="top" wrapText="1"/>
    </xf>
    <xf numFmtId="4" fontId="22" fillId="0" borderId="1" xfId="1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10" fillId="0" borderId="0" xfId="1" applyNumberFormat="1" applyFont="1" applyBorder="1"/>
    <xf numFmtId="0" fontId="29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5" fillId="0" borderId="1" xfId="1" applyFont="1" applyBorder="1"/>
    <xf numFmtId="0" fontId="10" fillId="9" borderId="24" xfId="1" applyFill="1" applyBorder="1" applyAlignment="1">
      <alignment wrapText="1"/>
    </xf>
    <xf numFmtId="0" fontId="10" fillId="9" borderId="25" xfId="1" applyFill="1" applyBorder="1" applyAlignment="1">
      <alignment wrapText="1"/>
    </xf>
    <xf numFmtId="0" fontId="3" fillId="9" borderId="25" xfId="1" applyFont="1" applyFill="1" applyBorder="1" applyAlignment="1">
      <alignment wrapText="1"/>
    </xf>
    <xf numFmtId="0" fontId="10" fillId="9" borderId="26" xfId="1" applyFill="1" applyBorder="1" applyAlignment="1">
      <alignment wrapText="1"/>
    </xf>
    <xf numFmtId="0" fontId="10" fillId="9" borderId="0" xfId="1" applyFill="1" applyAlignment="1">
      <alignment wrapText="1"/>
    </xf>
    <xf numFmtId="0" fontId="3" fillId="9" borderId="8" xfId="1" applyFont="1" applyFill="1" applyBorder="1" applyAlignment="1">
      <alignment wrapText="1"/>
    </xf>
    <xf numFmtId="0" fontId="10" fillId="9" borderId="1" xfId="1" applyFill="1" applyBorder="1"/>
    <xf numFmtId="4" fontId="10" fillId="9" borderId="9" xfId="1" applyNumberFormat="1" applyFill="1" applyBorder="1"/>
    <xf numFmtId="0" fontId="10" fillId="9" borderId="0" xfId="1" applyFill="1"/>
    <xf numFmtId="0" fontId="3" fillId="9" borderId="18" xfId="1" applyFont="1" applyFill="1" applyBorder="1" applyAlignment="1">
      <alignment wrapText="1"/>
    </xf>
    <xf numFmtId="0" fontId="10" fillId="9" borderId="1" xfId="1" applyFill="1" applyBorder="1" applyAlignment="1">
      <alignment horizontal="right" wrapText="1"/>
    </xf>
    <xf numFmtId="0" fontId="10" fillId="9" borderId="1" xfId="1" applyFill="1" applyBorder="1" applyAlignment="1">
      <alignment horizontal="right"/>
    </xf>
    <xf numFmtId="0" fontId="3" fillId="9" borderId="17" xfId="1" applyFont="1" applyFill="1" applyBorder="1" applyAlignment="1">
      <alignment vertical="center" wrapText="1"/>
    </xf>
    <xf numFmtId="0" fontId="10" fillId="9" borderId="19" xfId="1" applyFill="1" applyBorder="1"/>
    <xf numFmtId="4" fontId="10" fillId="9" borderId="27" xfId="1" applyNumberFormat="1" applyFill="1" applyBorder="1"/>
    <xf numFmtId="0" fontId="3" fillId="9" borderId="28" xfId="1" applyFont="1" applyFill="1" applyBorder="1" applyAlignment="1">
      <alignment vertical="center" wrapText="1"/>
    </xf>
    <xf numFmtId="0" fontId="10" fillId="9" borderId="29" xfId="1" applyFill="1" applyBorder="1"/>
    <xf numFmtId="4" fontId="10" fillId="9" borderId="30" xfId="1" applyNumberFormat="1" applyFill="1" applyBorder="1"/>
    <xf numFmtId="0" fontId="24" fillId="9" borderId="5" xfId="1" applyFont="1" applyFill="1" applyBorder="1" applyAlignment="1">
      <alignment vertical="center" wrapText="1"/>
    </xf>
    <xf numFmtId="0" fontId="10" fillId="9" borderId="6" xfId="1" applyFill="1" applyBorder="1"/>
    <xf numFmtId="4" fontId="12" fillId="9" borderId="7" xfId="1" applyNumberFormat="1" applyFont="1" applyFill="1" applyBorder="1"/>
    <xf numFmtId="0" fontId="3" fillId="9" borderId="8" xfId="1" applyFont="1" applyFill="1" applyBorder="1" applyAlignment="1">
      <alignment vertical="center" wrapText="1"/>
    </xf>
    <xf numFmtId="0" fontId="10" fillId="9" borderId="5" xfId="1" applyFill="1" applyBorder="1" applyAlignment="1">
      <alignment wrapText="1"/>
    </xf>
    <xf numFmtId="0" fontId="10" fillId="9" borderId="6" xfId="1" applyFill="1" applyBorder="1" applyAlignment="1">
      <alignment wrapText="1"/>
    </xf>
    <xf numFmtId="0" fontId="3" fillId="9" borderId="6" xfId="1" applyFont="1" applyFill="1" applyBorder="1" applyAlignment="1">
      <alignment wrapText="1"/>
    </xf>
    <xf numFmtId="0" fontId="10" fillId="9" borderId="7" xfId="1" applyFill="1" applyBorder="1" applyAlignment="1">
      <alignment wrapText="1"/>
    </xf>
    <xf numFmtId="0" fontId="12" fillId="9" borderId="9" xfId="1" applyFont="1" applyFill="1" applyBorder="1"/>
    <xf numFmtId="0" fontId="3" fillId="9" borderId="16" xfId="1" applyFont="1" applyFill="1" applyBorder="1" applyAlignment="1">
      <alignment wrapText="1"/>
    </xf>
    <xf numFmtId="0" fontId="10" fillId="9" borderId="11" xfId="1" applyFill="1" applyBorder="1"/>
    <xf numFmtId="0" fontId="10" fillId="9" borderId="13" xfId="1" applyFill="1" applyBorder="1"/>
    <xf numFmtId="165" fontId="10" fillId="0" borderId="1" xfId="1" applyNumberFormat="1" applyFont="1" applyBorder="1" applyAlignment="1">
      <alignment horizontal="center" wrapText="1"/>
    </xf>
    <xf numFmtId="4" fontId="10" fillId="0" borderId="1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0" fillId="9" borderId="1" xfId="1" applyFont="1" applyFill="1" applyBorder="1"/>
    <xf numFmtId="4" fontId="10" fillId="9" borderId="9" xfId="1" applyNumberFormat="1" applyFont="1" applyFill="1" applyBorder="1"/>
    <xf numFmtId="4" fontId="10" fillId="9" borderId="0" xfId="1" applyNumberFormat="1" applyFill="1"/>
    <xf numFmtId="0" fontId="3" fillId="9" borderId="1" xfId="1" applyNumberFormat="1" applyFont="1" applyFill="1" applyBorder="1" applyAlignment="1">
      <alignment horizontal="center" vertical="top" wrapText="1"/>
    </xf>
    <xf numFmtId="4" fontId="3" fillId="9" borderId="1" xfId="1" applyNumberFormat="1" applyFont="1" applyFill="1" applyBorder="1" applyAlignment="1">
      <alignment horizontal="center" vertical="top" wrapText="1"/>
    </xf>
    <xf numFmtId="4" fontId="10" fillId="10" borderId="0" xfId="1" applyNumberFormat="1" applyFill="1"/>
    <xf numFmtId="0" fontId="30" fillId="0" borderId="8" xfId="1" applyFont="1" applyBorder="1" applyAlignment="1">
      <alignment wrapText="1"/>
    </xf>
    <xf numFmtId="0" fontId="36" fillId="0" borderId="1" xfId="1" applyFont="1" applyBorder="1"/>
    <xf numFmtId="0" fontId="10" fillId="0" borderId="0" xfId="1" applyAlignment="1">
      <alignment horizontal="center"/>
    </xf>
    <xf numFmtId="164" fontId="10" fillId="0" borderId="0" xfId="3" applyFont="1"/>
    <xf numFmtId="164" fontId="10" fillId="0" borderId="0" xfId="3" applyFont="1" applyBorder="1" applyAlignment="1">
      <alignment horizontal="center"/>
    </xf>
    <xf numFmtId="164" fontId="10" fillId="9" borderId="25" xfId="3" applyFont="1" applyFill="1" applyBorder="1" applyAlignment="1">
      <alignment wrapText="1"/>
    </xf>
    <xf numFmtId="164" fontId="10" fillId="9" borderId="1" xfId="3" applyFont="1" applyFill="1" applyBorder="1"/>
    <xf numFmtId="164" fontId="10" fillId="9" borderId="1" xfId="3" applyFont="1" applyFill="1" applyBorder="1" applyProtection="1">
      <protection locked="0"/>
    </xf>
    <xf numFmtId="164" fontId="10" fillId="9" borderId="1" xfId="3" applyFont="1" applyFill="1" applyBorder="1" applyAlignment="1">
      <alignment horizontal="right" wrapText="1"/>
    </xf>
    <xf numFmtId="164" fontId="36" fillId="9" borderId="1" xfId="3" applyFont="1" applyFill="1" applyBorder="1" applyAlignment="1">
      <alignment horizontal="right" wrapText="1"/>
    </xf>
    <xf numFmtId="164" fontId="10" fillId="9" borderId="6" xfId="3" applyFont="1" applyFill="1" applyBorder="1"/>
    <xf numFmtId="164" fontId="10" fillId="9" borderId="19" xfId="3" applyFont="1" applyFill="1" applyBorder="1"/>
    <xf numFmtId="164" fontId="10" fillId="9" borderId="29" xfId="3" applyFont="1" applyFill="1" applyBorder="1"/>
    <xf numFmtId="164" fontId="10" fillId="0" borderId="22" xfId="3" applyFont="1" applyBorder="1"/>
    <xf numFmtId="164" fontId="10" fillId="0" borderId="1" xfId="3" applyFont="1" applyBorder="1"/>
    <xf numFmtId="164" fontId="10" fillId="0" borderId="11" xfId="3" applyFont="1" applyBorder="1"/>
    <xf numFmtId="164" fontId="10" fillId="0" borderId="0" xfId="3" applyFont="1" applyBorder="1"/>
    <xf numFmtId="164" fontId="10" fillId="9" borderId="0" xfId="3" applyFont="1" applyFill="1"/>
    <xf numFmtId="164" fontId="10" fillId="9" borderId="6" xfId="3" applyFont="1" applyFill="1" applyBorder="1" applyAlignment="1">
      <alignment wrapText="1"/>
    </xf>
    <xf numFmtId="164" fontId="10" fillId="9" borderId="11" xfId="3" applyFont="1" applyFill="1" applyBorder="1"/>
    <xf numFmtId="164" fontId="2" fillId="0" borderId="0" xfId="3" applyFont="1"/>
    <xf numFmtId="164" fontId="10" fillId="0" borderId="1" xfId="3" applyFont="1" applyBorder="1" applyAlignment="1">
      <alignment wrapText="1"/>
    </xf>
    <xf numFmtId="164" fontId="1" fillId="0" borderId="1" xfId="3" applyFont="1" applyBorder="1"/>
    <xf numFmtId="164" fontId="8" fillId="0" borderId="1" xfId="3" applyFont="1" applyBorder="1"/>
    <xf numFmtId="164" fontId="8" fillId="0" borderId="0" xfId="3" applyFont="1" applyBorder="1"/>
    <xf numFmtId="164" fontId="10" fillId="0" borderId="6" xfId="3" applyFont="1" applyBorder="1" applyAlignment="1">
      <alignment wrapText="1"/>
    </xf>
    <xf numFmtId="164" fontId="36" fillId="0" borderId="1" xfId="3" applyFont="1" applyBorder="1"/>
    <xf numFmtId="164" fontId="10" fillId="0" borderId="19" xfId="3" applyFont="1" applyBorder="1"/>
    <xf numFmtId="164" fontId="10" fillId="0" borderId="21" xfId="3" applyFont="1" applyBorder="1"/>
    <xf numFmtId="0" fontId="10" fillId="9" borderId="9" xfId="1" applyFont="1" applyFill="1" applyBorder="1"/>
    <xf numFmtId="0" fontId="10" fillId="9" borderId="0" xfId="1" applyFont="1" applyFill="1"/>
    <xf numFmtId="164" fontId="10" fillId="9" borderId="9" xfId="1" applyNumberFormat="1" applyFont="1" applyFill="1" applyBorder="1"/>
    <xf numFmtId="4" fontId="12" fillId="3" borderId="9" xfId="1" applyNumberFormat="1" applyFont="1" applyFill="1" applyBorder="1" applyAlignment="1">
      <alignment horizontal="center"/>
    </xf>
    <xf numFmtId="4" fontId="10" fillId="3" borderId="9" xfId="1" applyNumberFormat="1" applyFill="1" applyBorder="1" applyAlignment="1">
      <alignment horizontal="center"/>
    </xf>
    <xf numFmtId="4" fontId="36" fillId="3" borderId="9" xfId="1" applyNumberFormat="1" applyFont="1" applyFill="1" applyBorder="1" applyAlignment="1">
      <alignment horizontal="center"/>
    </xf>
    <xf numFmtId="4" fontId="10" fillId="0" borderId="9" xfId="1" applyNumberFormat="1" applyBorder="1" applyAlignment="1">
      <alignment horizontal="center"/>
    </xf>
    <xf numFmtId="4" fontId="10" fillId="0" borderId="13" xfId="1" applyNumberFormat="1" applyBorder="1" applyAlignment="1">
      <alignment horizontal="center"/>
    </xf>
    <xf numFmtId="4" fontId="3" fillId="0" borderId="1" xfId="1" applyNumberFormat="1" applyFont="1" applyFill="1" applyBorder="1" applyAlignment="1">
      <alignment wrapText="1"/>
    </xf>
    <xf numFmtId="4" fontId="3" fillId="0" borderId="9" xfId="1" applyNumberFormat="1" applyFont="1" applyFill="1" applyBorder="1" applyAlignment="1">
      <alignment wrapText="1"/>
    </xf>
    <xf numFmtId="4" fontId="3" fillId="0" borderId="11" xfId="1" applyNumberFormat="1" applyFont="1" applyFill="1" applyBorder="1" applyAlignment="1">
      <alignment wrapText="1"/>
    </xf>
    <xf numFmtId="4" fontId="3" fillId="0" borderId="13" xfId="1" applyNumberFormat="1" applyFont="1" applyFill="1" applyBorder="1" applyAlignment="1">
      <alignment wrapText="1"/>
    </xf>
    <xf numFmtId="4" fontId="3" fillId="0" borderId="14" xfId="1" applyNumberFormat="1" applyFont="1" applyFill="1" applyBorder="1" applyAlignment="1">
      <alignment wrapText="1"/>
    </xf>
    <xf numFmtId="4" fontId="3" fillId="0" borderId="15" xfId="1" applyNumberFormat="1" applyFont="1" applyFill="1" applyBorder="1" applyAlignment="1">
      <alignment wrapText="1"/>
    </xf>
    <xf numFmtId="0" fontId="15" fillId="0" borderId="0" xfId="1" applyFont="1" applyFill="1" applyBorder="1" applyAlignment="1">
      <alignment horizontal="center" wrapText="1"/>
    </xf>
    <xf numFmtId="0" fontId="10" fillId="0" borderId="11" xfId="1" applyFont="1" applyBorder="1" applyAlignment="1">
      <alignment horizontal="right"/>
    </xf>
    <xf numFmtId="0" fontId="3" fillId="0" borderId="1" xfId="1" applyNumberFormat="1" applyFont="1" applyFill="1" applyBorder="1" applyAlignment="1">
      <alignment wrapText="1"/>
    </xf>
    <xf numFmtId="4" fontId="10" fillId="0" borderId="0" xfId="1" applyNumberFormat="1" applyFont="1" applyFill="1"/>
    <xf numFmtId="0" fontId="3" fillId="0" borderId="1" xfId="1" applyFont="1" applyBorder="1" applyAlignment="1">
      <alignment horizontal="center" wrapText="1"/>
    </xf>
    <xf numFmtId="4" fontId="10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0" fillId="0" borderId="1" xfId="1" applyBorder="1" applyAlignment="1">
      <alignment horizontal="center"/>
    </xf>
    <xf numFmtId="0" fontId="21" fillId="0" borderId="6" xfId="1" applyFont="1" applyBorder="1" applyAlignment="1">
      <alignment wrapText="1"/>
    </xf>
    <xf numFmtId="0" fontId="3" fillId="0" borderId="11" xfId="1" applyFont="1" applyBorder="1" applyAlignment="1">
      <alignment horizontal="center"/>
    </xf>
    <xf numFmtId="4" fontId="10" fillId="3" borderId="11" xfId="1" applyNumberFormat="1" applyFont="1" applyFill="1" applyBorder="1" applyAlignment="1">
      <alignment horizontal="center"/>
    </xf>
    <xf numFmtId="4" fontId="10" fillId="0" borderId="13" xfId="1" applyNumberFormat="1" applyBorder="1" applyAlignment="1">
      <alignment horizontal="right"/>
    </xf>
    <xf numFmtId="4" fontId="10" fillId="0" borderId="1" xfId="1" applyNumberFormat="1" applyBorder="1" applyAlignment="1">
      <alignment horizontal="center" wrapText="1"/>
    </xf>
    <xf numFmtId="4" fontId="10" fillId="0" borderId="11" xfId="1" applyNumberFormat="1" applyBorder="1" applyAlignment="1">
      <alignment horizontal="center" wrapText="1"/>
    </xf>
    <xf numFmtId="4" fontId="10" fillId="0" borderId="9" xfId="1" applyNumberFormat="1" applyBorder="1" applyAlignment="1">
      <alignment horizontal="right"/>
    </xf>
    <xf numFmtId="4" fontId="10" fillId="0" borderId="9" xfId="1" applyNumberFormat="1" applyFill="1" applyBorder="1" applyAlignment="1">
      <alignment horizontal="right"/>
    </xf>
    <xf numFmtId="2" fontId="1" fillId="0" borderId="1" xfId="1" applyNumberFormat="1" applyFont="1" applyBorder="1"/>
    <xf numFmtId="2" fontId="10" fillId="0" borderId="1" xfId="1" applyNumberFormat="1" applyBorder="1"/>
    <xf numFmtId="0" fontId="10" fillId="11" borderId="1" xfId="1" applyFill="1" applyBorder="1"/>
    <xf numFmtId="14" fontId="3" fillId="0" borderId="1" xfId="1" applyNumberFormat="1" applyFont="1" applyBorder="1" applyAlignment="1">
      <alignment wrapText="1"/>
    </xf>
    <xf numFmtId="2" fontId="3" fillId="0" borderId="1" xfId="1" applyNumberFormat="1" applyFont="1" applyBorder="1"/>
    <xf numFmtId="14" fontId="3" fillId="0" borderId="1" xfId="1" applyNumberFormat="1" applyFont="1" applyBorder="1"/>
    <xf numFmtId="0" fontId="10" fillId="0" borderId="32" xfId="1" applyFont="1" applyFill="1" applyBorder="1"/>
    <xf numFmtId="0" fontId="10" fillId="0" borderId="4" xfId="1" applyFont="1" applyFill="1" applyBorder="1"/>
    <xf numFmtId="4" fontId="3" fillId="0" borderId="0" xfId="1" applyNumberFormat="1" applyFont="1" applyBorder="1"/>
    <xf numFmtId="0" fontId="13" fillId="0" borderId="0" xfId="1" applyFont="1" applyAlignment="1">
      <alignment horizontal="center" wrapText="1"/>
    </xf>
    <xf numFmtId="4" fontId="3" fillId="0" borderId="40" xfId="1" applyNumberFormat="1" applyFont="1" applyBorder="1" applyAlignment="1">
      <alignment wrapText="1"/>
    </xf>
    <xf numFmtId="4" fontId="3" fillId="0" borderId="41" xfId="1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1" applyFont="1" applyFill="1" applyBorder="1" applyAlignment="1">
      <alignment wrapText="1"/>
    </xf>
    <xf numFmtId="0" fontId="3" fillId="0" borderId="8" xfId="1" applyFont="1" applyFill="1" applyBorder="1"/>
    <xf numFmtId="4" fontId="10" fillId="0" borderId="1" xfId="1" applyNumberFormat="1" applyFont="1" applyFill="1" applyBorder="1" applyAlignment="1">
      <alignment horizontal="center"/>
    </xf>
    <xf numFmtId="4" fontId="34" fillId="0" borderId="3" xfId="0" applyNumberFormat="1" applyFont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21" xfId="1" applyBorder="1"/>
    <xf numFmtId="4" fontId="0" fillId="0" borderId="0" xfId="0" applyNumberFormat="1"/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3" xfId="0" quotePrefix="1" applyFont="1" applyBorder="1" applyAlignment="1">
      <alignment horizontal="center" wrapText="1"/>
    </xf>
    <xf numFmtId="0" fontId="33" fillId="0" borderId="3" xfId="0" applyFont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29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9" fillId="0" borderId="2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9" fillId="8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36" xfId="0" applyFont="1" applyBorder="1" applyAlignment="1">
      <alignment horizontal="right"/>
    </xf>
    <xf numFmtId="0" fontId="29" fillId="0" borderId="1" xfId="0" applyFont="1" applyFill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8" fillId="0" borderId="21" xfId="0" applyFont="1" applyBorder="1" applyAlignment="1">
      <alignment horizontal="left" wrapText="1"/>
    </xf>
    <xf numFmtId="0" fontId="31" fillId="0" borderId="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7" fillId="0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10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0" xfId="1" applyAlignment="1">
      <alignment horizontal="center" wrapText="1"/>
    </xf>
    <xf numFmtId="0" fontId="10" fillId="0" borderId="21" xfId="1" applyFont="1" applyFill="1" applyBorder="1" applyAlignment="1">
      <alignment horizontal="center"/>
    </xf>
    <xf numFmtId="0" fontId="17" fillId="0" borderId="37" xfId="1" applyFont="1" applyBorder="1" applyAlignment="1">
      <alignment horizontal="center" wrapText="1"/>
    </xf>
    <xf numFmtId="0" fontId="16" fillId="0" borderId="0" xfId="1" applyFont="1" applyBorder="1" applyAlignment="1">
      <alignment horizontal="center" wrapText="1"/>
    </xf>
    <xf numFmtId="0" fontId="15" fillId="9" borderId="0" xfId="1" applyFont="1" applyFill="1" applyAlignment="1">
      <alignment horizontal="center" wrapText="1"/>
    </xf>
    <xf numFmtId="0" fontId="19" fillId="9" borderId="0" xfId="1" applyFont="1" applyFill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3" fillId="9" borderId="17" xfId="1" applyFont="1" applyFill="1" applyBorder="1" applyAlignment="1">
      <alignment horizontal="center" vertical="center" wrapText="1"/>
    </xf>
    <xf numFmtId="0" fontId="3" fillId="9" borderId="39" xfId="1" applyFont="1" applyFill="1" applyBorder="1" applyAlignment="1">
      <alignment horizontal="center" vertical="center" wrapText="1"/>
    </xf>
    <xf numFmtId="0" fontId="3" fillId="9" borderId="10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0" fontId="15" fillId="0" borderId="32" xfId="1" applyFont="1" applyBorder="1" applyAlignment="1">
      <alignment horizontal="center" wrapText="1"/>
    </xf>
    <xf numFmtId="0" fontId="17" fillId="0" borderId="32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3" fillId="0" borderId="0" xfId="1" applyFont="1" applyAlignment="1">
      <alignment horizontal="center" wrapText="1"/>
    </xf>
    <xf numFmtId="0" fontId="10" fillId="0" borderId="0" xfId="1" applyAlignment="1">
      <alignment horizontal="left"/>
    </xf>
    <xf numFmtId="0" fontId="17" fillId="0" borderId="0" xfId="1" applyNumberFormat="1" applyFont="1" applyBorder="1" applyAlignment="1">
      <alignment horizontal="center" vertical="top" wrapText="1"/>
    </xf>
    <xf numFmtId="0" fontId="15" fillId="0" borderId="38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 wrapText="1"/>
    </xf>
    <xf numFmtId="0" fontId="17" fillId="0" borderId="21" xfId="1" applyFont="1" applyBorder="1" applyAlignment="1" applyProtection="1">
      <alignment horizontal="center" vertical="center" wrapText="1"/>
      <protection locked="0"/>
    </xf>
    <xf numFmtId="0" fontId="17" fillId="0" borderId="0" xfId="1" applyNumberFormat="1" applyFont="1" applyBorder="1" applyAlignment="1">
      <alignment horizontal="center" wrapText="1"/>
    </xf>
    <xf numFmtId="0" fontId="25" fillId="0" borderId="0" xfId="1" applyFont="1" applyAlignment="1">
      <alignment horizontal="center"/>
    </xf>
    <xf numFmtId="0" fontId="17" fillId="0" borderId="0" xfId="1" applyNumberFormat="1" applyFont="1" applyBorder="1" applyAlignment="1">
      <alignment horizontal="center"/>
    </xf>
    <xf numFmtId="0" fontId="15" fillId="0" borderId="38" xfId="1" applyNumberFormat="1" applyFont="1" applyBorder="1" applyAlignment="1">
      <alignment horizontal="center" vertical="top" wrapText="1"/>
    </xf>
    <xf numFmtId="0" fontId="15" fillId="0" borderId="0" xfId="1" applyNumberFormat="1" applyFont="1" applyBorder="1" applyAlignment="1">
      <alignment horizontal="center" vertical="top" wrapText="1"/>
    </xf>
    <xf numFmtId="0" fontId="26" fillId="0" borderId="3" xfId="1" applyFont="1" applyBorder="1" applyAlignment="1">
      <alignment horizontal="left" vertical="center"/>
    </xf>
    <xf numFmtId="0" fontId="26" fillId="0" borderId="32" xfId="1" applyFont="1" applyBorder="1" applyAlignment="1">
      <alignment horizontal="left" vertical="center"/>
    </xf>
    <xf numFmtId="0" fontId="26" fillId="0" borderId="4" xfId="1" applyFont="1" applyBorder="1" applyAlignment="1">
      <alignment horizontal="left" vertical="center"/>
    </xf>
    <xf numFmtId="0" fontId="15" fillId="0" borderId="2" xfId="1" applyFont="1" applyBorder="1" applyAlignment="1">
      <alignment horizontal="center" wrapText="1"/>
    </xf>
    <xf numFmtId="0" fontId="26" fillId="0" borderId="21" xfId="1" applyFont="1" applyBorder="1" applyAlignment="1" applyProtection="1">
      <alignment horizontal="center" vertical="center" wrapText="1"/>
      <protection locked="0"/>
    </xf>
    <xf numFmtId="0" fontId="17" fillId="0" borderId="38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57150</xdr:colOff>
      <xdr:row>37</xdr:row>
      <xdr:rowOff>104775</xdr:rowOff>
    </xdr:to>
    <xdr:pic>
      <xdr:nvPicPr>
        <xdr:cNvPr id="2" name="Рисунок 1" descr="ri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029950" cy="7153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ermolaeva/&#1056;&#1072;&#1073;&#1086;&#1095;&#1080;&#1081;%20&#1089;&#1090;&#1086;&#1083;/2015%20&#1075;&#1086;&#1076;/&#1084;&#1091;&#1085;&#1080;&#1094;&#1080;&#1087;&#1072;&#1083;&#1100;&#1085;&#1086;&#1077;%20&#1079;&#1072;&#1076;&#1072;&#1085;&#1080;&#1077;/&#1089;&#1072;&#1076;%2089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-2"/>
      <sheetName val="отчет1433-1"/>
      <sheetName val="1433-9мес"/>
      <sheetName val="касса 2014"/>
      <sheetName val="1433"/>
    </sheetNames>
    <sheetDataSet>
      <sheetData sheetId="0"/>
      <sheetData sheetId="1" refreshError="1"/>
      <sheetData sheetId="2"/>
      <sheetData sheetId="3"/>
      <sheetData sheetId="4" refreshError="1"/>
      <sheetData sheetId="5">
        <row r="31">
          <cell r="B31" t="str">
            <v>вывоз жидких бытовых отходов и объемов жидких бытовых отходов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4" workbookViewId="0"/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E35"/>
  <sheetViews>
    <sheetView view="pageBreakPreview" topLeftCell="A3" zoomScaleSheetLayoutView="100" workbookViewId="0">
      <selection activeCell="E9" sqref="E9"/>
    </sheetView>
  </sheetViews>
  <sheetFormatPr defaultRowHeight="12.75"/>
  <cols>
    <col min="1" max="1" width="0.140625" style="38" customWidth="1"/>
    <col min="2" max="2" width="23" style="38" customWidth="1"/>
    <col min="3" max="3" width="15.7109375" style="38" customWidth="1"/>
    <col min="4" max="4" width="14.140625" style="38" customWidth="1"/>
    <col min="5" max="5" width="16.7109375" style="38" customWidth="1"/>
    <col min="6" max="6" width="9.140625" style="38"/>
    <col min="7" max="7" width="13.28515625" style="38" customWidth="1"/>
    <col min="8" max="16384" width="9.140625" style="38"/>
  </cols>
  <sheetData>
    <row r="1" spans="2:7">
      <c r="F1" s="447" t="s">
        <v>250</v>
      </c>
      <c r="G1" s="447"/>
    </row>
    <row r="2" spans="2:7" ht="25.5" customHeight="1">
      <c r="B2" s="436" t="s">
        <v>251</v>
      </c>
      <c r="C2" s="419"/>
      <c r="D2" s="419"/>
      <c r="E2" s="419"/>
    </row>
    <row r="3" spans="2:7" ht="18.75">
      <c r="B3" s="129"/>
      <c r="C3" s="98"/>
      <c r="D3" s="98"/>
      <c r="E3" s="98"/>
    </row>
    <row r="4" spans="2:7" ht="19.5" thickBot="1">
      <c r="B4" s="129"/>
      <c r="C4" s="98"/>
      <c r="D4" s="98"/>
      <c r="E4" s="98"/>
    </row>
    <row r="5" spans="2:7" s="147" customFormat="1" ht="48" customHeight="1">
      <c r="B5" s="145"/>
      <c r="C5" s="67" t="s">
        <v>252</v>
      </c>
      <c r="D5" s="146" t="s">
        <v>253</v>
      </c>
      <c r="E5" s="68" t="s">
        <v>251</v>
      </c>
    </row>
    <row r="6" spans="2:7" ht="15">
      <c r="B6" s="148" t="s">
        <v>254</v>
      </c>
      <c r="C6" s="159">
        <v>2958045.45</v>
      </c>
      <c r="D6" s="149">
        <v>2.1999999999999999E-2</v>
      </c>
      <c r="E6" s="150">
        <f>ROUND(C6*D6,0)</f>
        <v>65077</v>
      </c>
    </row>
    <row r="7" spans="2:7" ht="15">
      <c r="B7" s="148"/>
      <c r="C7" s="159"/>
      <c r="D7" s="149"/>
      <c r="E7" s="150"/>
    </row>
    <row r="8" spans="2:7" ht="15">
      <c r="B8" s="148" t="s">
        <v>255</v>
      </c>
      <c r="C8" s="159">
        <v>22303689.460000001</v>
      </c>
      <c r="D8" s="149">
        <v>1.4999999999999999E-2</v>
      </c>
      <c r="E8" s="150">
        <f>ROUND(C8*D8,0)+1</f>
        <v>334556</v>
      </c>
    </row>
    <row r="9" spans="2:7" ht="15">
      <c r="B9" s="151"/>
      <c r="C9" s="159"/>
      <c r="D9" s="149"/>
      <c r="E9" s="150"/>
    </row>
    <row r="10" spans="2:7" ht="15" hidden="1">
      <c r="B10" s="152" t="s">
        <v>238</v>
      </c>
      <c r="C10" s="44"/>
      <c r="D10" s="149"/>
      <c r="E10" s="150">
        <f>ROUND(C10*D10,2)</f>
        <v>0</v>
      </c>
    </row>
    <row r="11" spans="2:7" ht="15" hidden="1">
      <c r="B11" s="152" t="s">
        <v>239</v>
      </c>
      <c r="C11" s="44"/>
      <c r="D11" s="149"/>
      <c r="E11" s="150">
        <f>ROUND(C11*D11,2)</f>
        <v>0</v>
      </c>
    </row>
    <row r="12" spans="2:7" ht="15.75" hidden="1" thickBot="1">
      <c r="B12" s="153" t="s">
        <v>240</v>
      </c>
      <c r="C12" s="160"/>
      <c r="D12" s="112">
        <v>1</v>
      </c>
      <c r="E12" s="161">
        <f>ROUND(C12*D12,2)</f>
        <v>0</v>
      </c>
    </row>
    <row r="16" spans="2:7" ht="15">
      <c r="B16" s="446" t="s">
        <v>242</v>
      </c>
      <c r="C16" s="446"/>
      <c r="D16" s="446"/>
      <c r="E16" s="446"/>
      <c r="F16" s="446"/>
      <c r="G16" s="446"/>
    </row>
    <row r="18" spans="2:83" ht="13.5" thickBot="1"/>
    <row r="19" spans="2:83" ht="120">
      <c r="B19" s="133"/>
      <c r="C19" s="309" t="s">
        <v>243</v>
      </c>
      <c r="D19" s="117" t="s">
        <v>195</v>
      </c>
      <c r="E19" s="117" t="s">
        <v>244</v>
      </c>
      <c r="F19" s="143" t="s">
        <v>314</v>
      </c>
      <c r="G19" s="118" t="s">
        <v>245</v>
      </c>
    </row>
    <row r="20" spans="2:83">
      <c r="B20" s="140" t="s">
        <v>232</v>
      </c>
      <c r="C20" s="306" t="s">
        <v>248</v>
      </c>
      <c r="D20" s="313">
        <f>прил.5!D16</f>
        <v>1581.82</v>
      </c>
      <c r="E20" s="313">
        <f>прил.5!E16</f>
        <v>650</v>
      </c>
      <c r="F20" s="39">
        <v>0.5</v>
      </c>
      <c r="G20" s="150">
        <f>прил.5!G16-прил.5!I16</f>
        <v>514091.5</v>
      </c>
    </row>
    <row r="21" spans="2:83">
      <c r="B21" s="140" t="s">
        <v>232</v>
      </c>
      <c r="C21" s="306" t="s">
        <v>248</v>
      </c>
      <c r="D21" s="313">
        <f>прил.5!D17</f>
        <v>1648.07</v>
      </c>
      <c r="E21" s="313">
        <f>прил.5!E17</f>
        <v>378.34859999999998</v>
      </c>
      <c r="F21" s="39">
        <v>0.5</v>
      </c>
      <c r="G21" s="150">
        <f>прил.5!G17-прил.5!I17</f>
        <v>311772.5</v>
      </c>
    </row>
    <row r="22" spans="2:83">
      <c r="B22" s="140" t="s">
        <v>232</v>
      </c>
      <c r="C22" s="306" t="s">
        <v>248</v>
      </c>
      <c r="D22" s="313">
        <f>прил.5!D18</f>
        <v>0</v>
      </c>
      <c r="E22" s="313">
        <f>прил.5!E18</f>
        <v>0</v>
      </c>
      <c r="F22" s="39">
        <v>0.5</v>
      </c>
      <c r="G22" s="150">
        <f>прил.5!G18-прил.5!I18</f>
        <v>0</v>
      </c>
    </row>
    <row r="23" spans="2:83">
      <c r="B23" s="140" t="str">
        <f>прил.5!B19</f>
        <v xml:space="preserve">электрическая энергия </v>
      </c>
      <c r="C23" s="306" t="s">
        <v>249</v>
      </c>
      <c r="D23" s="313">
        <f>прил.5!D19</f>
        <v>6.18</v>
      </c>
      <c r="E23" s="313">
        <f>прил.5!E19</f>
        <v>126000</v>
      </c>
      <c r="F23" s="39">
        <v>0.1</v>
      </c>
      <c r="G23" s="150">
        <f>прил.5!G19-прил.5!I19</f>
        <v>77868</v>
      </c>
    </row>
    <row r="24" spans="2:83">
      <c r="B24" s="140" t="str">
        <f>прил.5!B20</f>
        <v xml:space="preserve">электрическая энергия </v>
      </c>
      <c r="C24" s="306" t="s">
        <v>249</v>
      </c>
      <c r="D24" s="313">
        <f>прил.5!D20</f>
        <v>0</v>
      </c>
      <c r="E24" s="313">
        <f>прил.5!E20</f>
        <v>0</v>
      </c>
      <c r="F24" s="39">
        <v>0.1</v>
      </c>
      <c r="G24" s="150">
        <f>прил.5!G20-прил.5!I20</f>
        <v>0</v>
      </c>
    </row>
    <row r="25" spans="2:83">
      <c r="B25" s="140" t="str">
        <f>прил.5!B21</f>
        <v xml:space="preserve">электрическая энергия </v>
      </c>
      <c r="C25" s="306" t="s">
        <v>249</v>
      </c>
      <c r="D25" s="313">
        <f>прил.5!D21</f>
        <v>0</v>
      </c>
      <c r="E25" s="313">
        <f>прил.5!E21</f>
        <v>0</v>
      </c>
      <c r="F25" s="39">
        <v>0.1</v>
      </c>
      <c r="G25" s="150">
        <f>прил.5!G21-прил.5!I21</f>
        <v>0</v>
      </c>
    </row>
    <row r="26" spans="2:83" ht="13.5" thickBot="1">
      <c r="B26" s="134" t="str">
        <f>прил.5!B22</f>
        <v xml:space="preserve">электрическая энергия </v>
      </c>
      <c r="C26" s="310" t="s">
        <v>249</v>
      </c>
      <c r="D26" s="314">
        <f>прил.5!D22</f>
        <v>0</v>
      </c>
      <c r="E26" s="314">
        <f>прил.5!E22</f>
        <v>0</v>
      </c>
      <c r="F26" s="112">
        <v>0.1</v>
      </c>
      <c r="G26" s="161">
        <f>прил.5!G22-прил.5!I22</f>
        <v>0</v>
      </c>
    </row>
    <row r="31" spans="2:83" s="90" customFormat="1">
      <c r="B31" s="48" t="s">
        <v>302</v>
      </c>
      <c r="C31" s="157"/>
      <c r="D31" s="158"/>
      <c r="E31" s="98"/>
      <c r="F31" s="99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</row>
    <row r="32" spans="2:83" s="90" customFormat="1"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</row>
    <row r="33" spans="2:83" s="90" customFormat="1"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</row>
    <row r="34" spans="2:83" s="90" customFormat="1">
      <c r="B34" s="38" t="s">
        <v>260</v>
      </c>
      <c r="C34" s="157"/>
      <c r="D34" s="157"/>
      <c r="E34" s="98"/>
      <c r="F34" s="99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</row>
    <row r="35" spans="2:83" s="90" customFormat="1"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</row>
  </sheetData>
  <mergeCells count="3">
    <mergeCell ref="F1:G1"/>
    <mergeCell ref="B2:E2"/>
    <mergeCell ref="B16:G16"/>
  </mergeCells>
  <pageMargins left="0.7" right="0.7" top="0.75" bottom="0.75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CD137"/>
  <sheetViews>
    <sheetView view="pageBreakPreview" topLeftCell="A5" zoomScaleSheetLayoutView="100" workbookViewId="0">
      <pane xSplit="2" ySplit="2" topLeftCell="C7" activePane="bottomRight" state="frozen"/>
      <selection activeCell="A5" sqref="A5"/>
      <selection pane="topRight" activeCell="C5" sqref="C5"/>
      <selection pane="bottomLeft" activeCell="A7" sqref="A7"/>
      <selection pane="bottomRight" activeCell="H11" sqref="H11"/>
    </sheetView>
  </sheetViews>
  <sheetFormatPr defaultRowHeight="12.75"/>
  <cols>
    <col min="1" max="1" width="30" style="90" customWidth="1"/>
    <col min="2" max="2" width="10" style="90" customWidth="1"/>
    <col min="3" max="3" width="19" style="90" hidden="1" customWidth="1"/>
    <col min="4" max="4" width="17.42578125" style="90" hidden="1" customWidth="1"/>
    <col min="5" max="5" width="20.42578125" style="90" customWidth="1"/>
    <col min="6" max="6" width="19.5703125" style="92" customWidth="1"/>
    <col min="7" max="7" width="18.28515625" style="92" hidden="1" customWidth="1"/>
    <col min="8" max="12" width="15.140625" style="92" customWidth="1"/>
    <col min="13" max="82" width="9.140625" style="92"/>
    <col min="83" max="16384" width="9.140625" style="90"/>
  </cols>
  <sheetData>
    <row r="1" spans="1:11" ht="36.75" customHeight="1">
      <c r="A1" s="453" t="s">
        <v>199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37.5" customHeight="1">
      <c r="A2" s="451" t="s">
        <v>301</v>
      </c>
      <c r="B2" s="451"/>
      <c r="C2" s="451"/>
      <c r="D2" s="461" t="str">
        <f>мун.зад.!A14</f>
        <v>Муниципальное бюджетное дошкольное образовательное учреждение детский сад № 19 г. Пензы "Катюша"</v>
      </c>
      <c r="E2" s="461"/>
      <c r="F2" s="461"/>
      <c r="G2" s="461"/>
      <c r="H2" s="461"/>
      <c r="I2" s="461"/>
      <c r="J2" s="461"/>
      <c r="K2" s="461"/>
    </row>
    <row r="3" spans="1:11" ht="60" customHeight="1">
      <c r="A3" s="457" t="s">
        <v>293</v>
      </c>
      <c r="B3" s="458"/>
      <c r="C3" s="459"/>
      <c r="D3" s="167" t="s">
        <v>122</v>
      </c>
      <c r="E3" s="167" t="s">
        <v>287</v>
      </c>
      <c r="F3" s="167" t="s">
        <v>288</v>
      </c>
      <c r="G3" s="168" t="s">
        <v>295</v>
      </c>
      <c r="H3" s="168" t="s">
        <v>289</v>
      </c>
      <c r="I3" s="168" t="s">
        <v>290</v>
      </c>
      <c r="J3" s="168" t="s">
        <v>291</v>
      </c>
      <c r="K3" s="168" t="s">
        <v>292</v>
      </c>
    </row>
    <row r="4" spans="1:11" ht="40.5" customHeight="1">
      <c r="A4" s="460" t="s">
        <v>200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</row>
    <row r="5" spans="1:11" ht="40.5" customHeight="1">
      <c r="A5" s="169" t="s">
        <v>294</v>
      </c>
      <c r="B5" s="135"/>
      <c r="C5" s="201"/>
      <c r="D5" s="135">
        <f>'проверка 2017'!I12+'проверка 2017'!J12</f>
        <v>645</v>
      </c>
      <c r="E5" s="135">
        <f>'проверка 2017'!I12</f>
        <v>116</v>
      </c>
      <c r="F5" s="135">
        <f>'проверка 2017'!J12</f>
        <v>529</v>
      </c>
      <c r="G5" s="135">
        <f>SUM(H5:K5)</f>
        <v>645</v>
      </c>
      <c r="H5" s="135">
        <f>'проверка 2017'!H24</f>
        <v>115</v>
      </c>
      <c r="I5" s="135">
        <f>'проверка 2017'!I24</f>
        <v>528</v>
      </c>
      <c r="J5" s="135">
        <f>'проверка 2017'!J24</f>
        <v>1</v>
      </c>
      <c r="K5" s="135">
        <f>'проверка 2017'!K24</f>
        <v>1</v>
      </c>
    </row>
    <row r="6" spans="1:11" ht="9" customHeight="1">
      <c r="A6" s="18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69" customHeight="1">
      <c r="A7" s="183" t="s">
        <v>201</v>
      </c>
      <c r="B7" s="183" t="s">
        <v>202</v>
      </c>
      <c r="C7" s="183" t="s">
        <v>204</v>
      </c>
      <c r="D7" s="183" t="s">
        <v>204</v>
      </c>
      <c r="E7" s="183" t="s">
        <v>203</v>
      </c>
      <c r="F7" s="183" t="s">
        <v>203</v>
      </c>
      <c r="G7" s="183" t="s">
        <v>204</v>
      </c>
      <c r="H7" s="183" t="s">
        <v>203</v>
      </c>
      <c r="I7" s="183" t="s">
        <v>203</v>
      </c>
      <c r="J7" s="183" t="s">
        <v>203</v>
      </c>
      <c r="K7" s="183" t="s">
        <v>203</v>
      </c>
    </row>
    <row r="8" spans="1:11" ht="42.75" customHeight="1">
      <c r="A8" s="449" t="s">
        <v>205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</row>
    <row r="9" spans="1:11" ht="45">
      <c r="A9" s="184" t="s">
        <v>206</v>
      </c>
      <c r="B9" s="171" t="s">
        <v>207</v>
      </c>
      <c r="C9" s="203">
        <f>C15+C21</f>
        <v>12433140.359999999</v>
      </c>
      <c r="D9" s="203">
        <f t="shared" ref="D9:K9" si="0">D15+D21</f>
        <v>12433140.359999999</v>
      </c>
      <c r="E9" s="203">
        <f>E15+E21</f>
        <v>19276.189999999999</v>
      </c>
      <c r="F9" s="203">
        <f>F15+F21</f>
        <v>19276.189999999999</v>
      </c>
      <c r="G9" s="203">
        <f t="shared" si="0"/>
        <v>0</v>
      </c>
      <c r="H9" s="203">
        <f t="shared" si="0"/>
        <v>0</v>
      </c>
      <c r="I9" s="203">
        <f t="shared" si="0"/>
        <v>0</v>
      </c>
      <c r="J9" s="203">
        <f t="shared" si="0"/>
        <v>0</v>
      </c>
      <c r="K9" s="203">
        <f t="shared" si="0"/>
        <v>0</v>
      </c>
    </row>
    <row r="10" spans="1:11" ht="54.75" customHeight="1">
      <c r="A10" s="184" t="s">
        <v>208</v>
      </c>
      <c r="B10" s="171" t="s">
        <v>207</v>
      </c>
      <c r="C10" s="203">
        <f>C16+C22</f>
        <v>3754808.3900000006</v>
      </c>
      <c r="D10" s="203">
        <f t="shared" ref="D10:K10" si="1">D16+D22</f>
        <v>3754808.3900000006</v>
      </c>
      <c r="E10" s="203">
        <f>E16+E22</f>
        <v>5821.41</v>
      </c>
      <c r="F10" s="203">
        <f>F16+F22</f>
        <v>5821.41</v>
      </c>
      <c r="G10" s="203">
        <f t="shared" si="1"/>
        <v>0</v>
      </c>
      <c r="H10" s="203">
        <f t="shared" si="1"/>
        <v>0</v>
      </c>
      <c r="I10" s="203">
        <f t="shared" si="1"/>
        <v>0</v>
      </c>
      <c r="J10" s="203">
        <f t="shared" si="1"/>
        <v>0</v>
      </c>
      <c r="K10" s="203">
        <f t="shared" si="1"/>
        <v>0</v>
      </c>
    </row>
    <row r="11" spans="1:11" ht="45">
      <c r="A11" s="185" t="s">
        <v>209</v>
      </c>
      <c r="B11" s="171" t="s">
        <v>207</v>
      </c>
      <c r="C11" s="203">
        <f>C17</f>
        <v>205110</v>
      </c>
      <c r="D11" s="203">
        <f t="shared" ref="D11:K11" si="2">D17</f>
        <v>205110</v>
      </c>
      <c r="E11" s="203">
        <f>E17</f>
        <v>318</v>
      </c>
      <c r="F11" s="203">
        <f>F17</f>
        <v>318</v>
      </c>
      <c r="G11" s="203">
        <f t="shared" si="2"/>
        <v>0</v>
      </c>
      <c r="H11" s="203">
        <f t="shared" si="2"/>
        <v>0</v>
      </c>
      <c r="I11" s="203">
        <f t="shared" si="2"/>
        <v>0</v>
      </c>
      <c r="J11" s="203">
        <f t="shared" si="2"/>
        <v>0</v>
      </c>
      <c r="K11" s="203">
        <f t="shared" si="2"/>
        <v>0</v>
      </c>
    </row>
    <row r="12" spans="1:11" ht="22.5">
      <c r="A12" s="186" t="s">
        <v>210</v>
      </c>
      <c r="B12" s="171" t="s">
        <v>207</v>
      </c>
      <c r="C12" s="203">
        <f>C18</f>
        <v>22597</v>
      </c>
      <c r="D12" s="203">
        <f t="shared" ref="D12:K12" si="3">D18</f>
        <v>22597</v>
      </c>
      <c r="E12" s="203">
        <f>E18</f>
        <v>35.03</v>
      </c>
      <c r="F12" s="203">
        <f>F18</f>
        <v>35.04</v>
      </c>
      <c r="G12" s="203">
        <f t="shared" si="3"/>
        <v>0</v>
      </c>
      <c r="H12" s="203">
        <f t="shared" si="3"/>
        <v>0</v>
      </c>
      <c r="I12" s="203">
        <f t="shared" si="3"/>
        <v>0</v>
      </c>
      <c r="J12" s="203">
        <f t="shared" si="3"/>
        <v>0</v>
      </c>
      <c r="K12" s="203">
        <f t="shared" si="3"/>
        <v>0</v>
      </c>
    </row>
    <row r="13" spans="1:11">
      <c r="A13" s="202" t="s">
        <v>146</v>
      </c>
      <c r="B13" s="198"/>
      <c r="C13" s="205">
        <f>SUM(C9:C12)</f>
        <v>16415655.75</v>
      </c>
      <c r="D13" s="205">
        <f>SUM(D9:D12)</f>
        <v>16415655.75</v>
      </c>
      <c r="E13" s="205">
        <f t="shared" ref="E13:K13" si="4">SUM(E9:E12)</f>
        <v>25450.629999999997</v>
      </c>
      <c r="F13" s="205">
        <f t="shared" si="4"/>
        <v>25450.639999999999</v>
      </c>
      <c r="G13" s="205">
        <f t="shared" si="4"/>
        <v>0</v>
      </c>
      <c r="H13" s="205">
        <f t="shared" si="4"/>
        <v>0</v>
      </c>
      <c r="I13" s="205">
        <f t="shared" si="4"/>
        <v>0</v>
      </c>
      <c r="J13" s="205">
        <f t="shared" si="4"/>
        <v>0</v>
      </c>
      <c r="K13" s="205">
        <f t="shared" si="4"/>
        <v>0</v>
      </c>
    </row>
    <row r="14" spans="1:11" ht="45" customHeight="1">
      <c r="A14" s="455" t="s">
        <v>211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</row>
    <row r="15" spans="1:11" ht="45.75" customHeight="1">
      <c r="A15" s="184" t="s">
        <v>206</v>
      </c>
      <c r="B15" s="171" t="s">
        <v>207</v>
      </c>
      <c r="C15" s="203">
        <f>'прил.1+2'!G10</f>
        <v>12433140.359999999</v>
      </c>
      <c r="D15" s="203">
        <f>'прил.1+2'!G10</f>
        <v>12433140.359999999</v>
      </c>
      <c r="E15" s="203">
        <f>ROUND('проверка 2017'!M15/E5,2)</f>
        <v>19276.189999999999</v>
      </c>
      <c r="F15" s="204">
        <f>ROUND('проверка 2017'!O15/F5,2)</f>
        <v>19276.189999999999</v>
      </c>
      <c r="G15" s="204"/>
      <c r="H15" s="204">
        <f t="shared" ref="H15:K18" si="5">IF(H$5&lt;=0,0,IF($G15=0,0,ROUND($G15/($H$5+$I$5+$J$5+$K$5),2)))</f>
        <v>0</v>
      </c>
      <c r="I15" s="204">
        <f t="shared" si="5"/>
        <v>0</v>
      </c>
      <c r="J15" s="204">
        <f t="shared" si="5"/>
        <v>0</v>
      </c>
      <c r="K15" s="204">
        <f t="shared" si="5"/>
        <v>0</v>
      </c>
    </row>
    <row r="16" spans="1:11" ht="58.5" customHeight="1">
      <c r="A16" s="184" t="s">
        <v>208</v>
      </c>
      <c r="B16" s="171" t="s">
        <v>207</v>
      </c>
      <c r="C16" s="203">
        <f>'прил.1+2'!H10</f>
        <v>3754808.3900000006</v>
      </c>
      <c r="D16" s="203">
        <f>'прил.1+2'!H10</f>
        <v>3754808.3900000006</v>
      </c>
      <c r="E16" s="203">
        <f>ROUND('проверка 2017'!M16/E5,2)</f>
        <v>5821.41</v>
      </c>
      <c r="F16" s="204">
        <f>ROUND('проверка 2017'!O16/F5,2)</f>
        <v>5821.41</v>
      </c>
      <c r="G16" s="204"/>
      <c r="H16" s="204">
        <f t="shared" si="5"/>
        <v>0</v>
      </c>
      <c r="I16" s="204">
        <f t="shared" si="5"/>
        <v>0</v>
      </c>
      <c r="J16" s="204">
        <f t="shared" si="5"/>
        <v>0</v>
      </c>
      <c r="K16" s="204">
        <f t="shared" si="5"/>
        <v>0</v>
      </c>
    </row>
    <row r="17" spans="1:82" ht="45">
      <c r="A17" s="185" t="s">
        <v>209</v>
      </c>
      <c r="B17" s="171" t="s">
        <v>207</v>
      </c>
      <c r="C17" s="203">
        <f>'прил.1+2'!F14</f>
        <v>205110</v>
      </c>
      <c r="D17" s="203">
        <f>'прил.1+2'!F14</f>
        <v>205110</v>
      </c>
      <c r="E17" s="203">
        <f>ROUND('проверка 2017'!G18/E5,2)</f>
        <v>318</v>
      </c>
      <c r="F17" s="204">
        <f>ROUND('проверка 2017'!H18/F5,2)</f>
        <v>318</v>
      </c>
      <c r="G17" s="204"/>
      <c r="H17" s="204">
        <f t="shared" si="5"/>
        <v>0</v>
      </c>
      <c r="I17" s="204">
        <f t="shared" si="5"/>
        <v>0</v>
      </c>
      <c r="J17" s="204">
        <f t="shared" si="5"/>
        <v>0</v>
      </c>
      <c r="K17" s="204">
        <f t="shared" si="5"/>
        <v>0</v>
      </c>
    </row>
    <row r="18" spans="1:82" ht="22.5">
      <c r="A18" s="186" t="str">
        <f>A12</f>
        <v xml:space="preserve"> затраты на доп. проф. образование педагогических работников</v>
      </c>
      <c r="B18" s="171" t="s">
        <v>207</v>
      </c>
      <c r="C18" s="203">
        <f>'прил.1+2'!F15</f>
        <v>22597</v>
      </c>
      <c r="D18" s="203">
        <f>'прил.1+2'!F15</f>
        <v>22597</v>
      </c>
      <c r="E18" s="203">
        <f>ROUND('проверка 2017'!G17/E5,2)</f>
        <v>35.03</v>
      </c>
      <c r="F18" s="204">
        <f>ROUND('проверка 2017'!H17/F5,2)</f>
        <v>35.04</v>
      </c>
      <c r="G18" s="204"/>
      <c r="H18" s="204">
        <f t="shared" si="5"/>
        <v>0</v>
      </c>
      <c r="I18" s="204">
        <f t="shared" si="5"/>
        <v>0</v>
      </c>
      <c r="J18" s="204">
        <f t="shared" si="5"/>
        <v>0</v>
      </c>
      <c r="K18" s="204">
        <f t="shared" si="5"/>
        <v>0</v>
      </c>
    </row>
    <row r="19" spans="1:82" s="136" customFormat="1" ht="21.75" customHeight="1">
      <c r="A19" s="187" t="s">
        <v>146</v>
      </c>
      <c r="B19" s="188"/>
      <c r="C19" s="206">
        <f>SUM(C15:C18)</f>
        <v>16415655.75</v>
      </c>
      <c r="D19" s="206">
        <f>SUM(D15:D18)</f>
        <v>16415655.75</v>
      </c>
      <c r="E19" s="206">
        <f t="shared" ref="E19:K19" si="6">SUM(E15:E18)</f>
        <v>25450.629999999997</v>
      </c>
      <c r="F19" s="206">
        <f t="shared" si="6"/>
        <v>25450.639999999999</v>
      </c>
      <c r="G19" s="206">
        <f t="shared" si="6"/>
        <v>0</v>
      </c>
      <c r="H19" s="206">
        <f t="shared" si="6"/>
        <v>0</v>
      </c>
      <c r="I19" s="206">
        <f t="shared" si="6"/>
        <v>0</v>
      </c>
      <c r="J19" s="206">
        <f t="shared" si="6"/>
        <v>0</v>
      </c>
      <c r="K19" s="206">
        <f t="shared" si="6"/>
        <v>0</v>
      </c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</row>
    <row r="20" spans="1:82" s="136" customFormat="1" ht="42" hidden="1" customHeight="1">
      <c r="A20" s="455" t="s">
        <v>212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</row>
    <row r="21" spans="1:82" ht="48" hidden="1" customHeight="1">
      <c r="A21" s="184" t="s">
        <v>206</v>
      </c>
      <c r="B21" s="171" t="s">
        <v>207</v>
      </c>
      <c r="C21" s="203">
        <f>'прил.1+2'!G25</f>
        <v>0</v>
      </c>
      <c r="D21" s="203">
        <f>'прил.1+2'!H25</f>
        <v>0</v>
      </c>
      <c r="E21" s="203">
        <f>'прил.1+2'!I25</f>
        <v>0</v>
      </c>
      <c r="F21" s="203">
        <f>'прил.1+2'!J25</f>
        <v>0</v>
      </c>
      <c r="G21" s="204">
        <f>'прил.1+2'!G25</f>
        <v>0</v>
      </c>
      <c r="H21" s="204">
        <f t="shared" ref="H21:K22" si="7">IF(H$5&lt;=0,0,IF($G21=0,0,ROUND($G21/($H$5+$I$5+$J$5+$K$5),2)))</f>
        <v>0</v>
      </c>
      <c r="I21" s="204">
        <f t="shared" si="7"/>
        <v>0</v>
      </c>
      <c r="J21" s="204">
        <f t="shared" si="7"/>
        <v>0</v>
      </c>
      <c r="K21" s="204">
        <f t="shared" si="7"/>
        <v>0</v>
      </c>
    </row>
    <row r="22" spans="1:82" ht="48" hidden="1" customHeight="1">
      <c r="A22" s="184" t="s">
        <v>208</v>
      </c>
      <c r="B22" s="171" t="s">
        <v>207</v>
      </c>
      <c r="C22" s="203">
        <f>'прил.1+2'!H25</f>
        <v>0</v>
      </c>
      <c r="D22" s="203">
        <f>'прил.1+2'!I25</f>
        <v>0</v>
      </c>
      <c r="E22" s="203">
        <f>'прил.1+2'!J25</f>
        <v>0</v>
      </c>
      <c r="F22" s="203">
        <f>'прил.1+2'!K25</f>
        <v>0</v>
      </c>
      <c r="G22" s="204">
        <f>'прил.1+2'!H25</f>
        <v>0</v>
      </c>
      <c r="H22" s="204">
        <f t="shared" si="7"/>
        <v>0</v>
      </c>
      <c r="I22" s="204">
        <f t="shared" si="7"/>
        <v>0</v>
      </c>
      <c r="J22" s="204">
        <f t="shared" si="7"/>
        <v>0</v>
      </c>
      <c r="K22" s="204">
        <f t="shared" si="7"/>
        <v>0</v>
      </c>
    </row>
    <row r="23" spans="1:82" ht="21.75" hidden="1" customHeight="1">
      <c r="A23" s="187" t="s">
        <v>146</v>
      </c>
      <c r="B23" s="188"/>
      <c r="C23" s="206">
        <f>SUM(C21:C22)</f>
        <v>0</v>
      </c>
      <c r="D23" s="206">
        <f>SUM(D21:D22)</f>
        <v>0</v>
      </c>
      <c r="E23" s="206">
        <f t="shared" ref="E23:K23" si="8">SUM(E21:E22)</f>
        <v>0</v>
      </c>
      <c r="F23" s="206">
        <f t="shared" si="8"/>
        <v>0</v>
      </c>
      <c r="G23" s="206">
        <f>SUM(G21:G22)</f>
        <v>0</v>
      </c>
      <c r="H23" s="206">
        <f t="shared" si="8"/>
        <v>0</v>
      </c>
      <c r="I23" s="206">
        <f t="shared" si="8"/>
        <v>0</v>
      </c>
      <c r="J23" s="206">
        <f t="shared" si="8"/>
        <v>0</v>
      </c>
      <c r="K23" s="206">
        <f t="shared" si="8"/>
        <v>0</v>
      </c>
    </row>
    <row r="24" spans="1:82" s="92" customFormat="1" ht="26.25" customHeight="1">
      <c r="A24" s="172"/>
      <c r="B24" s="173"/>
      <c r="C24" s="173"/>
      <c r="D24" s="173"/>
      <c r="E24" s="173"/>
      <c r="F24" s="170"/>
      <c r="G24" s="170"/>
      <c r="H24" s="170"/>
      <c r="I24" s="170"/>
      <c r="J24" s="170"/>
      <c r="K24" s="170"/>
    </row>
    <row r="25" spans="1:82" s="136" customFormat="1" ht="26.25" customHeight="1">
      <c r="A25" s="456" t="s">
        <v>213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</row>
    <row r="26" spans="1:82" ht="39" customHeight="1">
      <c r="A26" s="448" t="s">
        <v>214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</row>
    <row r="27" spans="1:82" ht="43.5" customHeight="1">
      <c r="A27" s="184" t="s">
        <v>215</v>
      </c>
      <c r="B27" s="171" t="s">
        <v>207</v>
      </c>
      <c r="C27" s="203">
        <f t="shared" ref="C27:K27" si="9">C32+C36</f>
        <v>13507658.640000001</v>
      </c>
      <c r="D27" s="203">
        <f t="shared" si="9"/>
        <v>11914370.640000001</v>
      </c>
      <c r="E27" s="203">
        <f t="shared" si="9"/>
        <v>18471.89</v>
      </c>
      <c r="F27" s="203">
        <f t="shared" si="9"/>
        <v>18471.89</v>
      </c>
      <c r="G27" s="203">
        <f t="shared" si="9"/>
        <v>1593288</v>
      </c>
      <c r="H27" s="203">
        <f t="shared" si="9"/>
        <v>2470.21</v>
      </c>
      <c r="I27" s="203">
        <f t="shared" si="9"/>
        <v>2470.21</v>
      </c>
      <c r="J27" s="203">
        <f t="shared" si="9"/>
        <v>2470.21</v>
      </c>
      <c r="K27" s="203">
        <f t="shared" si="9"/>
        <v>2470.21</v>
      </c>
    </row>
    <row r="28" spans="1:82" ht="54.75" customHeight="1">
      <c r="A28" s="184" t="s">
        <v>216</v>
      </c>
      <c r="B28" s="171" t="s">
        <v>207</v>
      </c>
      <c r="C28" s="203">
        <f t="shared" ref="C28:K28" si="10">C33+C37</f>
        <v>4079312.61</v>
      </c>
      <c r="D28" s="203">
        <f t="shared" si="10"/>
        <v>3598139.61</v>
      </c>
      <c r="E28" s="203">
        <f t="shared" si="10"/>
        <v>5578.51</v>
      </c>
      <c r="F28" s="203">
        <f t="shared" si="10"/>
        <v>5578.51</v>
      </c>
      <c r="G28" s="203">
        <f t="shared" si="10"/>
        <v>481173</v>
      </c>
      <c r="H28" s="203">
        <f t="shared" si="10"/>
        <v>746</v>
      </c>
      <c r="I28" s="203">
        <f t="shared" si="10"/>
        <v>746</v>
      </c>
      <c r="J28" s="203">
        <f t="shared" si="10"/>
        <v>746</v>
      </c>
      <c r="K28" s="203">
        <f t="shared" si="10"/>
        <v>746</v>
      </c>
    </row>
    <row r="29" spans="1:82" s="136" customFormat="1" ht="26.25" customHeight="1">
      <c r="A29" s="184" t="s">
        <v>217</v>
      </c>
      <c r="B29" s="171" t="s">
        <v>207</v>
      </c>
      <c r="C29" s="203">
        <f t="shared" ref="C29:K29" si="11">C38</f>
        <v>2400</v>
      </c>
      <c r="D29" s="203">
        <f t="shared" si="11"/>
        <v>0</v>
      </c>
      <c r="E29" s="203">
        <f t="shared" si="11"/>
        <v>0</v>
      </c>
      <c r="F29" s="203">
        <f t="shared" si="11"/>
        <v>0</v>
      </c>
      <c r="G29" s="203">
        <f t="shared" si="11"/>
        <v>2400</v>
      </c>
      <c r="H29" s="203">
        <f t="shared" si="11"/>
        <v>3.72</v>
      </c>
      <c r="I29" s="203">
        <f t="shared" si="11"/>
        <v>3.72</v>
      </c>
      <c r="J29" s="203">
        <f t="shared" si="11"/>
        <v>3.72</v>
      </c>
      <c r="K29" s="203">
        <f t="shared" si="11"/>
        <v>3.72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</row>
    <row r="30" spans="1:82" s="136" customFormat="1" ht="27" customHeight="1">
      <c r="A30" s="189" t="s">
        <v>146</v>
      </c>
      <c r="B30" s="188"/>
      <c r="C30" s="206">
        <f>SUM(C27:C29)</f>
        <v>17589371.25</v>
      </c>
      <c r="D30" s="206">
        <f>SUM(D27:D29)</f>
        <v>15512510.25</v>
      </c>
      <c r="E30" s="206">
        <f t="shared" ref="E30:K30" si="12">SUM(E27:E29)</f>
        <v>24050.400000000001</v>
      </c>
      <c r="F30" s="206">
        <f t="shared" si="12"/>
        <v>24050.400000000001</v>
      </c>
      <c r="G30" s="206">
        <f t="shared" si="12"/>
        <v>2076861</v>
      </c>
      <c r="H30" s="206">
        <f t="shared" si="12"/>
        <v>3219.93</v>
      </c>
      <c r="I30" s="206">
        <f t="shared" si="12"/>
        <v>3219.93</v>
      </c>
      <c r="J30" s="206">
        <f t="shared" si="12"/>
        <v>3219.93</v>
      </c>
      <c r="K30" s="206">
        <f t="shared" si="12"/>
        <v>3219.93</v>
      </c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</row>
    <row r="31" spans="1:82" s="136" customFormat="1" ht="47.25" customHeight="1">
      <c r="A31" s="448" t="s">
        <v>218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</row>
    <row r="32" spans="1:82" s="136" customFormat="1" ht="48" customHeight="1">
      <c r="A32" s="184" t="s">
        <v>215</v>
      </c>
      <c r="B32" s="171" t="s">
        <v>207</v>
      </c>
      <c r="C32" s="207">
        <f>'прил.1+2'!G49</f>
        <v>11914370.640000001</v>
      </c>
      <c r="D32" s="207">
        <f>'прил.1+2'!G49</f>
        <v>11914370.640000001</v>
      </c>
      <c r="E32" s="207">
        <f>ROUND('проверка 2017'!N15/E5,2)</f>
        <v>18471.89</v>
      </c>
      <c r="F32" s="204">
        <f>ROUND('проверка 2017'!P15/F5,2)</f>
        <v>18471.89</v>
      </c>
      <c r="G32" s="204"/>
      <c r="H32" s="204">
        <f t="shared" ref="H32:K33" si="13">IF(H$5&lt;=0,0,IF($G32=0,0,ROUND($G32/($H$5+$I$5+$J$5+$K$5),2)))</f>
        <v>0</v>
      </c>
      <c r="I32" s="204">
        <f t="shared" si="13"/>
        <v>0</v>
      </c>
      <c r="J32" s="204">
        <f t="shared" si="13"/>
        <v>0</v>
      </c>
      <c r="K32" s="204">
        <f t="shared" si="13"/>
        <v>0</v>
      </c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</row>
    <row r="33" spans="1:82" s="136" customFormat="1" ht="56.25">
      <c r="A33" s="184" t="s">
        <v>216</v>
      </c>
      <c r="B33" s="171" t="s">
        <v>207</v>
      </c>
      <c r="C33" s="207">
        <f>'прил.1+2'!H49</f>
        <v>3598139.61</v>
      </c>
      <c r="D33" s="207">
        <f>'прил.1+2'!H49</f>
        <v>3598139.61</v>
      </c>
      <c r="E33" s="207">
        <f>ROUND('проверка 2017'!N16/E5,2)</f>
        <v>5578.51</v>
      </c>
      <c r="F33" s="204">
        <f>ROUND('проверка 2017'!P16/F5,2)</f>
        <v>5578.51</v>
      </c>
      <c r="G33" s="204"/>
      <c r="H33" s="204">
        <f t="shared" si="13"/>
        <v>0</v>
      </c>
      <c r="I33" s="204">
        <f t="shared" si="13"/>
        <v>0</v>
      </c>
      <c r="J33" s="204">
        <f t="shared" si="13"/>
        <v>0</v>
      </c>
      <c r="K33" s="204">
        <f t="shared" si="13"/>
        <v>0</v>
      </c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</row>
    <row r="34" spans="1:82">
      <c r="A34" s="189" t="s">
        <v>146</v>
      </c>
      <c r="B34" s="188"/>
      <c r="C34" s="208">
        <f>SUM(C32:C33)</f>
        <v>15512510.25</v>
      </c>
      <c r="D34" s="208">
        <f>SUM(D32:D33)</f>
        <v>15512510.25</v>
      </c>
      <c r="E34" s="208">
        <f t="shared" ref="E34:K34" si="14">SUM(E32:E33)</f>
        <v>24050.400000000001</v>
      </c>
      <c r="F34" s="208">
        <f t="shared" si="14"/>
        <v>24050.400000000001</v>
      </c>
      <c r="G34" s="208">
        <f t="shared" si="14"/>
        <v>0</v>
      </c>
      <c r="H34" s="208">
        <f t="shared" si="14"/>
        <v>0</v>
      </c>
      <c r="I34" s="208">
        <f t="shared" si="14"/>
        <v>0</v>
      </c>
      <c r="J34" s="208">
        <f t="shared" si="14"/>
        <v>0</v>
      </c>
      <c r="K34" s="208">
        <f t="shared" si="14"/>
        <v>0</v>
      </c>
    </row>
    <row r="35" spans="1:82" ht="51" customHeight="1">
      <c r="A35" s="448" t="s">
        <v>219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</row>
    <row r="36" spans="1:82" ht="45">
      <c r="A36" s="184" t="s">
        <v>215</v>
      </c>
      <c r="B36" s="171" t="s">
        <v>207</v>
      </c>
      <c r="C36" s="203">
        <f>'прил.1+2'!G56</f>
        <v>1593288</v>
      </c>
      <c r="D36" s="203"/>
      <c r="E36" s="203"/>
      <c r="F36" s="204"/>
      <c r="G36" s="204">
        <f>'прил.1+2'!G56</f>
        <v>1593288</v>
      </c>
      <c r="H36" s="204">
        <f t="shared" ref="H36:K38" si="15">IF(H$5&lt;=0,0,IF($G36=0,0,ROUND($G36/($H$5+$I$5+$J$5+$K$5),2)))</f>
        <v>2470.21</v>
      </c>
      <c r="I36" s="204">
        <f t="shared" si="15"/>
        <v>2470.21</v>
      </c>
      <c r="J36" s="204">
        <f t="shared" si="15"/>
        <v>2470.21</v>
      </c>
      <c r="K36" s="204">
        <f t="shared" si="15"/>
        <v>2470.21</v>
      </c>
    </row>
    <row r="37" spans="1:82" ht="44.25" customHeight="1">
      <c r="A37" s="184" t="s">
        <v>215</v>
      </c>
      <c r="B37" s="171" t="s">
        <v>207</v>
      </c>
      <c r="C37" s="203">
        <f>'прил.1+2'!H56</f>
        <v>481173</v>
      </c>
      <c r="D37" s="203"/>
      <c r="E37" s="203"/>
      <c r="F37" s="204"/>
      <c r="G37" s="204">
        <f>'прил.1+2'!H56</f>
        <v>481173</v>
      </c>
      <c r="H37" s="204">
        <f t="shared" si="15"/>
        <v>746</v>
      </c>
      <c r="I37" s="204">
        <f t="shared" si="15"/>
        <v>746</v>
      </c>
      <c r="J37" s="204">
        <f t="shared" si="15"/>
        <v>746</v>
      </c>
      <c r="K37" s="204">
        <f t="shared" si="15"/>
        <v>746</v>
      </c>
    </row>
    <row r="38" spans="1:82" ht="22.5">
      <c r="A38" s="184" t="s">
        <v>217</v>
      </c>
      <c r="B38" s="171" t="s">
        <v>207</v>
      </c>
      <c r="C38" s="203">
        <f>'прил.1+2'!E62</f>
        <v>2400</v>
      </c>
      <c r="D38" s="203"/>
      <c r="E38" s="203"/>
      <c r="F38" s="204"/>
      <c r="G38" s="204">
        <f>'прил.1+2'!E62</f>
        <v>2400</v>
      </c>
      <c r="H38" s="204">
        <f t="shared" si="15"/>
        <v>3.72</v>
      </c>
      <c r="I38" s="204">
        <f t="shared" si="15"/>
        <v>3.72</v>
      </c>
      <c r="J38" s="204">
        <f t="shared" si="15"/>
        <v>3.72</v>
      </c>
      <c r="K38" s="204">
        <f t="shared" si="15"/>
        <v>3.72</v>
      </c>
    </row>
    <row r="39" spans="1:82">
      <c r="A39" s="189" t="s">
        <v>146</v>
      </c>
      <c r="B39" s="188"/>
      <c r="C39" s="206">
        <f>SUM(C36:C38)</f>
        <v>2076861</v>
      </c>
      <c r="D39" s="206">
        <f>SUM(D36:D38)</f>
        <v>0</v>
      </c>
      <c r="E39" s="206">
        <f t="shared" ref="E39:K39" si="16">SUM(E36:E38)</f>
        <v>0</v>
      </c>
      <c r="F39" s="206">
        <f t="shared" si="16"/>
        <v>0</v>
      </c>
      <c r="G39" s="206">
        <f t="shared" si="16"/>
        <v>2076861</v>
      </c>
      <c r="H39" s="206">
        <f t="shared" si="16"/>
        <v>3219.93</v>
      </c>
      <c r="I39" s="206">
        <f t="shared" si="16"/>
        <v>3219.93</v>
      </c>
      <c r="J39" s="206">
        <f t="shared" si="16"/>
        <v>3219.93</v>
      </c>
      <c r="K39" s="206">
        <f t="shared" si="16"/>
        <v>3219.93</v>
      </c>
    </row>
    <row r="40" spans="1:82">
      <c r="A40" s="174"/>
      <c r="B40" s="173"/>
      <c r="C40" s="173"/>
      <c r="D40" s="173"/>
      <c r="E40" s="173"/>
      <c r="F40" s="170"/>
      <c r="G40" s="170"/>
      <c r="H40" s="170"/>
      <c r="I40" s="170"/>
      <c r="J40" s="170"/>
      <c r="K40" s="170"/>
    </row>
    <row r="41" spans="1:82" ht="25.5" customHeight="1">
      <c r="A41" s="462" t="s">
        <v>220</v>
      </c>
      <c r="B41" s="448"/>
      <c r="C41" s="448"/>
      <c r="D41" s="448"/>
      <c r="E41" s="448"/>
      <c r="F41" s="448"/>
      <c r="G41" s="448"/>
      <c r="H41" s="448"/>
      <c r="I41" s="448"/>
      <c r="J41" s="448"/>
      <c r="K41" s="448"/>
    </row>
    <row r="42" spans="1:82">
      <c r="A42" s="190" t="str">
        <f>прил.3!B6</f>
        <v>вывоз мусора</v>
      </c>
      <c r="B42" s="171" t="s">
        <v>207</v>
      </c>
      <c r="C42" s="203">
        <f>прил.3!G6</f>
        <v>151539.6</v>
      </c>
      <c r="D42" s="203"/>
      <c r="E42" s="203"/>
      <c r="F42" s="204"/>
      <c r="G42" s="204">
        <f>прил.3!G6</f>
        <v>151539.6</v>
      </c>
      <c r="H42" s="204">
        <f t="shared" ref="H42:K64" si="17">IF(H$5&lt;=0,0,IF($G42=0,0,ROUND($G42/($H$5+$I$5+$J$5+$K$5),2)))</f>
        <v>234.95</v>
      </c>
      <c r="I42" s="204">
        <f t="shared" si="17"/>
        <v>234.95</v>
      </c>
      <c r="J42" s="204">
        <f t="shared" si="17"/>
        <v>234.95</v>
      </c>
      <c r="K42" s="204">
        <f t="shared" si="17"/>
        <v>234.95</v>
      </c>
    </row>
    <row r="43" spans="1:82">
      <c r="A43" s="302" t="str">
        <f>прил.3!B7</f>
        <v>дератизация</v>
      </c>
      <c r="B43" s="171" t="s">
        <v>207</v>
      </c>
      <c r="C43" s="203">
        <f>прил.3!G7</f>
        <v>12672</v>
      </c>
      <c r="D43" s="203"/>
      <c r="E43" s="203"/>
      <c r="F43" s="204"/>
      <c r="G43" s="204">
        <f>прил.3!G7</f>
        <v>12672</v>
      </c>
      <c r="H43" s="204">
        <f t="shared" si="17"/>
        <v>19.649999999999999</v>
      </c>
      <c r="I43" s="204">
        <f t="shared" si="17"/>
        <v>19.649999999999999</v>
      </c>
      <c r="J43" s="204">
        <f t="shared" si="17"/>
        <v>19.649999999999999</v>
      </c>
      <c r="K43" s="204">
        <f t="shared" si="17"/>
        <v>19.649999999999999</v>
      </c>
    </row>
    <row r="44" spans="1:82" ht="25.5">
      <c r="A44" s="302" t="str">
        <f>прил.3!B8</f>
        <v>тех.обслуживание кнопки тревожной сигнализации</v>
      </c>
      <c r="B44" s="171" t="s">
        <v>207</v>
      </c>
      <c r="C44" s="203">
        <f>прил.3!G8</f>
        <v>6164.4</v>
      </c>
      <c r="D44" s="203"/>
      <c r="E44" s="203"/>
      <c r="F44" s="204"/>
      <c r="G44" s="204">
        <f>прил.3!G8</f>
        <v>6164.4</v>
      </c>
      <c r="H44" s="204">
        <f t="shared" si="17"/>
        <v>9.56</v>
      </c>
      <c r="I44" s="204">
        <f t="shared" si="17"/>
        <v>9.56</v>
      </c>
      <c r="J44" s="204">
        <f t="shared" si="17"/>
        <v>9.56</v>
      </c>
      <c r="K44" s="204">
        <f t="shared" si="17"/>
        <v>9.56</v>
      </c>
    </row>
    <row r="45" spans="1:82">
      <c r="A45" s="302" t="str">
        <f>прил.3!B9</f>
        <v>АПС</v>
      </c>
      <c r="B45" s="171" t="s">
        <v>207</v>
      </c>
      <c r="C45" s="203">
        <f>прил.3!G9</f>
        <v>38526</v>
      </c>
      <c r="D45" s="203"/>
      <c r="E45" s="203"/>
      <c r="F45" s="204"/>
      <c r="G45" s="204">
        <f>прил.3!G9</f>
        <v>38526</v>
      </c>
      <c r="H45" s="204">
        <f t="shared" si="17"/>
        <v>59.73</v>
      </c>
      <c r="I45" s="204">
        <f t="shared" si="17"/>
        <v>59.73</v>
      </c>
      <c r="J45" s="204">
        <f t="shared" si="17"/>
        <v>59.73</v>
      </c>
      <c r="K45" s="204">
        <f t="shared" si="17"/>
        <v>59.73</v>
      </c>
    </row>
    <row r="46" spans="1:82" hidden="1">
      <c r="A46" s="302" t="str">
        <f>прил.3!B10</f>
        <v>тех.обслуживание домофона</v>
      </c>
      <c r="B46" s="171" t="s">
        <v>207</v>
      </c>
      <c r="C46" s="203">
        <f>прил.3!G11</f>
        <v>0</v>
      </c>
      <c r="D46" s="203"/>
      <c r="E46" s="203"/>
      <c r="F46" s="204"/>
      <c r="G46" s="204">
        <f>прил.3!G10</f>
        <v>0</v>
      </c>
      <c r="H46" s="204">
        <f t="shared" si="17"/>
        <v>0</v>
      </c>
      <c r="I46" s="204">
        <f t="shared" si="17"/>
        <v>0</v>
      </c>
      <c r="J46" s="204">
        <f t="shared" si="17"/>
        <v>0</v>
      </c>
      <c r="K46" s="204">
        <f t="shared" si="17"/>
        <v>0</v>
      </c>
    </row>
    <row r="47" spans="1:82" ht="25.5" hidden="1">
      <c r="A47" s="302" t="str">
        <f>прил.3!B11</f>
        <v>тех.обслуживание видеонаблюдения</v>
      </c>
      <c r="B47" s="171" t="s">
        <v>207</v>
      </c>
      <c r="C47" s="203">
        <f>прил.3!G11</f>
        <v>0</v>
      </c>
      <c r="D47" s="203"/>
      <c r="E47" s="203"/>
      <c r="F47" s="204"/>
      <c r="G47" s="204">
        <f>прил.3!G11</f>
        <v>0</v>
      </c>
      <c r="H47" s="204">
        <f t="shared" si="17"/>
        <v>0</v>
      </c>
      <c r="I47" s="204">
        <f t="shared" si="17"/>
        <v>0</v>
      </c>
      <c r="J47" s="204">
        <f t="shared" si="17"/>
        <v>0</v>
      </c>
      <c r="K47" s="204">
        <f t="shared" si="17"/>
        <v>0</v>
      </c>
    </row>
    <row r="48" spans="1:82" hidden="1">
      <c r="A48" s="302" t="str">
        <f>прил.3!B12</f>
        <v>тех.обслуживание бассейна</v>
      </c>
      <c r="B48" s="171" t="s">
        <v>207</v>
      </c>
      <c r="C48" s="203">
        <f>прил.3!G12</f>
        <v>0</v>
      </c>
      <c r="D48" s="203"/>
      <c r="E48" s="203"/>
      <c r="F48" s="204"/>
      <c r="G48" s="204">
        <f>прил.3!G12</f>
        <v>0</v>
      </c>
      <c r="H48" s="204">
        <f t="shared" si="17"/>
        <v>0</v>
      </c>
      <c r="I48" s="204">
        <f t="shared" si="17"/>
        <v>0</v>
      </c>
      <c r="J48" s="204">
        <f t="shared" si="17"/>
        <v>0</v>
      </c>
      <c r="K48" s="204">
        <f t="shared" si="17"/>
        <v>0</v>
      </c>
    </row>
    <row r="49" spans="1:82" ht="15" customHeight="1">
      <c r="A49" s="302" t="str">
        <f>прил.3!B13</f>
        <v>тех.обслуживание радиомодема</v>
      </c>
      <c r="B49" s="171" t="s">
        <v>207</v>
      </c>
      <c r="C49" s="203">
        <f>прил.3!G13</f>
        <v>26400</v>
      </c>
      <c r="D49" s="203"/>
      <c r="E49" s="203"/>
      <c r="F49" s="204"/>
      <c r="G49" s="204">
        <f>прил.3!G13</f>
        <v>26400</v>
      </c>
      <c r="H49" s="204">
        <f t="shared" si="17"/>
        <v>40.93</v>
      </c>
      <c r="I49" s="204">
        <f t="shared" si="17"/>
        <v>40.93</v>
      </c>
      <c r="J49" s="204">
        <f t="shared" si="17"/>
        <v>40.93</v>
      </c>
      <c r="K49" s="204">
        <f t="shared" si="17"/>
        <v>40.93</v>
      </c>
    </row>
    <row r="50" spans="1:82" hidden="1">
      <c r="A50" s="302" t="str">
        <f>прил.3!B14</f>
        <v>тех.обслуживание теплосчетчиков</v>
      </c>
      <c r="B50" s="254" t="s">
        <v>207</v>
      </c>
      <c r="C50" s="255"/>
      <c r="D50" s="203"/>
      <c r="E50" s="203"/>
      <c r="F50" s="204"/>
      <c r="G50" s="204">
        <f>прил.3!G14</f>
        <v>0</v>
      </c>
      <c r="H50" s="204">
        <f t="shared" si="17"/>
        <v>0</v>
      </c>
      <c r="I50" s="204">
        <f t="shared" si="17"/>
        <v>0</v>
      </c>
      <c r="J50" s="204">
        <f t="shared" si="17"/>
        <v>0</v>
      </c>
      <c r="K50" s="204">
        <f t="shared" si="17"/>
        <v>0</v>
      </c>
    </row>
    <row r="51" spans="1:82">
      <c r="A51" s="302" t="str">
        <f>прил.3!B15</f>
        <v>Тех.обслуж.прибора учета ТЭР</v>
      </c>
      <c r="B51" s="171" t="s">
        <v>207</v>
      </c>
      <c r="C51" s="203">
        <f>прил.3!G15</f>
        <v>0</v>
      </c>
      <c r="D51" s="203"/>
      <c r="E51" s="203"/>
      <c r="F51" s="204"/>
      <c r="G51" s="204">
        <f>прил.3!G15</f>
        <v>0</v>
      </c>
      <c r="H51" s="204">
        <f t="shared" si="17"/>
        <v>0</v>
      </c>
      <c r="I51" s="204">
        <f t="shared" si="17"/>
        <v>0</v>
      </c>
      <c r="J51" s="204">
        <f t="shared" si="17"/>
        <v>0</v>
      </c>
      <c r="K51" s="204">
        <f t="shared" si="17"/>
        <v>0</v>
      </c>
    </row>
    <row r="52" spans="1:82" ht="25.5">
      <c r="A52" s="302" t="str">
        <f>прил.3!B16</f>
        <v>Поверка и ремонт теплосчетчиков, счетчиков электрической энергии</v>
      </c>
      <c r="B52" s="171" t="s">
        <v>207</v>
      </c>
      <c r="C52" s="203">
        <f>прил.3!G16+прил.3!G17</f>
        <v>3700</v>
      </c>
      <c r="D52" s="203"/>
      <c r="E52" s="203"/>
      <c r="F52" s="204"/>
      <c r="G52" s="204">
        <f>прил.3!G16+прил.3!G17</f>
        <v>3700</v>
      </c>
      <c r="H52" s="204">
        <f t="shared" si="17"/>
        <v>5.74</v>
      </c>
      <c r="I52" s="204">
        <f t="shared" si="17"/>
        <v>5.74</v>
      </c>
      <c r="J52" s="204">
        <f t="shared" si="17"/>
        <v>5.74</v>
      </c>
      <c r="K52" s="204">
        <f t="shared" si="17"/>
        <v>5.74</v>
      </c>
    </row>
    <row r="53" spans="1:82" ht="25.5">
      <c r="A53" s="302" t="str">
        <f>прил.3!B18</f>
        <v>тех.обслуживание узлов регулирования</v>
      </c>
      <c r="B53" s="171" t="s">
        <v>207</v>
      </c>
      <c r="C53" s="203">
        <f>прил.3!G18</f>
        <v>28840</v>
      </c>
      <c r="D53" s="203"/>
      <c r="E53" s="203"/>
      <c r="F53" s="204"/>
      <c r="G53" s="204">
        <f>прил.3!G18</f>
        <v>28840</v>
      </c>
      <c r="H53" s="204">
        <f t="shared" si="17"/>
        <v>44.71</v>
      </c>
      <c r="I53" s="204">
        <f t="shared" si="17"/>
        <v>44.71</v>
      </c>
      <c r="J53" s="204">
        <f t="shared" si="17"/>
        <v>44.71</v>
      </c>
      <c r="K53" s="204">
        <f t="shared" si="17"/>
        <v>44.71</v>
      </c>
    </row>
    <row r="54" spans="1:82">
      <c r="A54" s="302" t="str">
        <f>прил.3!B19</f>
        <v>замер сопротивления</v>
      </c>
      <c r="B54" s="171" t="s">
        <v>207</v>
      </c>
      <c r="C54" s="203">
        <f>прил.3!G19</f>
        <v>7000</v>
      </c>
      <c r="D54" s="203"/>
      <c r="E54" s="203"/>
      <c r="F54" s="204"/>
      <c r="G54" s="204">
        <f>прил.3!G19</f>
        <v>7000</v>
      </c>
      <c r="H54" s="204">
        <f t="shared" si="17"/>
        <v>10.85</v>
      </c>
      <c r="I54" s="204">
        <f t="shared" si="17"/>
        <v>10.85</v>
      </c>
      <c r="J54" s="204">
        <f t="shared" si="17"/>
        <v>10.85</v>
      </c>
      <c r="K54" s="204">
        <f t="shared" si="17"/>
        <v>10.85</v>
      </c>
    </row>
    <row r="55" spans="1:82">
      <c r="A55" s="302" t="str">
        <f>прил.3!B20</f>
        <v>поверка весов, манометров</v>
      </c>
      <c r="B55" s="171" t="s">
        <v>207</v>
      </c>
      <c r="C55" s="203">
        <f>прил.3!G20</f>
        <v>0</v>
      </c>
      <c r="D55" s="203"/>
      <c r="E55" s="203"/>
      <c r="F55" s="204"/>
      <c r="G55" s="204">
        <f>прил.3!G20</f>
        <v>0</v>
      </c>
      <c r="H55" s="204">
        <f t="shared" si="17"/>
        <v>0</v>
      </c>
      <c r="I55" s="204">
        <f t="shared" si="17"/>
        <v>0</v>
      </c>
      <c r="J55" s="204">
        <f t="shared" si="17"/>
        <v>0</v>
      </c>
      <c r="K55" s="204">
        <f t="shared" si="17"/>
        <v>0</v>
      </c>
    </row>
    <row r="56" spans="1:82">
      <c r="A56" s="302" t="str">
        <f>прил.3!B21</f>
        <v>ТО оборудования</v>
      </c>
      <c r="B56" s="171" t="s">
        <v>207</v>
      </c>
      <c r="C56" s="203">
        <f>прил.3!G21</f>
        <v>71100</v>
      </c>
      <c r="D56" s="203"/>
      <c r="E56" s="203"/>
      <c r="F56" s="204"/>
      <c r="G56" s="204">
        <f>прил.3!G21</f>
        <v>71100</v>
      </c>
      <c r="H56" s="204">
        <f t="shared" si="17"/>
        <v>110.23</v>
      </c>
      <c r="I56" s="204">
        <f t="shared" si="17"/>
        <v>110.23</v>
      </c>
      <c r="J56" s="204">
        <f t="shared" si="17"/>
        <v>110.23</v>
      </c>
      <c r="K56" s="204">
        <f t="shared" si="17"/>
        <v>110.23</v>
      </c>
    </row>
    <row r="57" spans="1:82">
      <c r="A57" s="302" t="str">
        <f>прил.3!B22</f>
        <v>Лабораторные исследования</v>
      </c>
      <c r="B57" s="171" t="s">
        <v>207</v>
      </c>
      <c r="C57" s="203">
        <f>прил.3!G22</f>
        <v>0</v>
      </c>
      <c r="D57" s="203"/>
      <c r="E57" s="203"/>
      <c r="F57" s="204"/>
      <c r="G57" s="204">
        <f>прил.3!G22</f>
        <v>0</v>
      </c>
      <c r="H57" s="204">
        <f t="shared" si="17"/>
        <v>0</v>
      </c>
      <c r="I57" s="204">
        <f t="shared" si="17"/>
        <v>0</v>
      </c>
      <c r="J57" s="204">
        <f t="shared" si="17"/>
        <v>0</v>
      </c>
      <c r="K57" s="204">
        <f t="shared" si="17"/>
        <v>0</v>
      </c>
    </row>
    <row r="58" spans="1:82" s="136" customFormat="1">
      <c r="A58" s="302" t="s">
        <v>353</v>
      </c>
      <c r="B58" s="171" t="s">
        <v>207</v>
      </c>
      <c r="C58" s="203">
        <f>прил.3!G25</f>
        <v>12000</v>
      </c>
      <c r="D58" s="203"/>
      <c r="E58" s="203"/>
      <c r="F58" s="204"/>
      <c r="G58" s="204">
        <f>прил.3!G25</f>
        <v>12000</v>
      </c>
      <c r="H58" s="204">
        <f t="shared" si="17"/>
        <v>18.600000000000001</v>
      </c>
      <c r="I58" s="204">
        <f t="shared" si="17"/>
        <v>18.600000000000001</v>
      </c>
      <c r="J58" s="204">
        <f t="shared" si="17"/>
        <v>18.600000000000001</v>
      </c>
      <c r="K58" s="204">
        <f t="shared" si="17"/>
        <v>18.600000000000001</v>
      </c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</row>
    <row r="59" spans="1:82">
      <c r="A59" s="302" t="str">
        <f>прил.3!B24</f>
        <v>ТО пожарной сигнализации</v>
      </c>
      <c r="B59" s="171" t="s">
        <v>207</v>
      </c>
      <c r="C59" s="203">
        <f>прил.3!G24</f>
        <v>28684</v>
      </c>
      <c r="D59" s="203"/>
      <c r="E59" s="203"/>
      <c r="F59" s="204"/>
      <c r="G59" s="204">
        <f>прил.3!G24</f>
        <v>28684</v>
      </c>
      <c r="H59" s="204">
        <f t="shared" si="17"/>
        <v>44.47</v>
      </c>
      <c r="I59" s="204">
        <f t="shared" si="17"/>
        <v>44.47</v>
      </c>
      <c r="J59" s="204">
        <f t="shared" si="17"/>
        <v>44.47</v>
      </c>
      <c r="K59" s="204">
        <f t="shared" si="17"/>
        <v>44.47</v>
      </c>
    </row>
    <row r="60" spans="1:82" ht="12.75" customHeight="1">
      <c r="A60" s="302" t="str">
        <f>прил.3!B29</f>
        <v>Заправка и ТО огнетушителей</v>
      </c>
      <c r="B60" s="171" t="s">
        <v>207</v>
      </c>
      <c r="C60" s="203">
        <f>прил.3!G29+прил.3!G30+прил.3!G31+прил.3!G32</f>
        <v>0</v>
      </c>
      <c r="D60" s="203"/>
      <c r="E60" s="203"/>
      <c r="F60" s="204"/>
      <c r="G60" s="204">
        <f>прил.3!G29+прил.3!G30+прил.3!G31+прил.3!G32</f>
        <v>0</v>
      </c>
      <c r="H60" s="204">
        <f t="shared" si="17"/>
        <v>0</v>
      </c>
      <c r="I60" s="204">
        <f t="shared" si="17"/>
        <v>0</v>
      </c>
      <c r="J60" s="204">
        <f t="shared" si="17"/>
        <v>0</v>
      </c>
      <c r="K60" s="204">
        <f t="shared" si="17"/>
        <v>0</v>
      </c>
    </row>
    <row r="61" spans="1:82" ht="12.75" customHeight="1">
      <c r="A61" s="302" t="str">
        <f>прил.3!B28</f>
        <v>Огнезащитная обработка</v>
      </c>
      <c r="B61" s="171" t="s">
        <v>207</v>
      </c>
      <c r="C61" s="203">
        <f>прил.3!G28</f>
        <v>0</v>
      </c>
      <c r="D61" s="203"/>
      <c r="E61" s="203"/>
      <c r="F61" s="204"/>
      <c r="G61" s="204">
        <f>прил.3!G28</f>
        <v>0</v>
      </c>
      <c r="H61" s="204">
        <f t="shared" si="17"/>
        <v>0</v>
      </c>
      <c r="I61" s="204">
        <f t="shared" si="17"/>
        <v>0</v>
      </c>
      <c r="J61" s="204">
        <f t="shared" si="17"/>
        <v>0</v>
      </c>
      <c r="K61" s="204">
        <f t="shared" si="17"/>
        <v>0</v>
      </c>
    </row>
    <row r="62" spans="1:82" ht="12.75" customHeight="1">
      <c r="A62" s="302" t="str">
        <f>прил.3!B26</f>
        <v>Тревожная кнопка</v>
      </c>
      <c r="B62" s="171" t="s">
        <v>207</v>
      </c>
      <c r="C62" s="203">
        <f>прил.3!G26</f>
        <v>28727</v>
      </c>
      <c r="D62" s="203"/>
      <c r="E62" s="203"/>
      <c r="F62" s="204"/>
      <c r="G62" s="204">
        <f>прил.3!G26</f>
        <v>28727</v>
      </c>
      <c r="H62" s="204">
        <f t="shared" si="17"/>
        <v>44.54</v>
      </c>
      <c r="I62" s="204">
        <f t="shared" si="17"/>
        <v>44.54</v>
      </c>
      <c r="J62" s="204">
        <f t="shared" si="17"/>
        <v>44.54</v>
      </c>
      <c r="K62" s="204">
        <f t="shared" si="17"/>
        <v>44.54</v>
      </c>
    </row>
    <row r="63" spans="1:82" ht="12.75" customHeight="1">
      <c r="A63" s="302" t="str">
        <f>прил.3!B27</f>
        <v>Утилизация отходов (ртутосодержащие лампы)</v>
      </c>
      <c r="B63" s="171" t="s">
        <v>207</v>
      </c>
      <c r="C63" s="203">
        <f>прил.3!G27</f>
        <v>1100</v>
      </c>
      <c r="D63" s="203"/>
      <c r="E63" s="203"/>
      <c r="F63" s="204"/>
      <c r="G63" s="204">
        <f>прил.3!G27</f>
        <v>1100</v>
      </c>
      <c r="H63" s="204">
        <f t="shared" si="17"/>
        <v>1.71</v>
      </c>
      <c r="I63" s="204">
        <f t="shared" si="17"/>
        <v>1.71</v>
      </c>
      <c r="J63" s="204">
        <f t="shared" si="17"/>
        <v>1.71</v>
      </c>
      <c r="K63" s="204">
        <f t="shared" si="17"/>
        <v>1.71</v>
      </c>
    </row>
    <row r="64" spans="1:82" ht="12.75" customHeight="1">
      <c r="A64" s="302" t="str">
        <f>прил.3!B33</f>
        <v>Противопожарные мероприятия:</v>
      </c>
      <c r="B64" s="171" t="s">
        <v>207</v>
      </c>
      <c r="C64" s="203">
        <f>прил.3!G33</f>
        <v>0</v>
      </c>
      <c r="D64" s="203"/>
      <c r="E64" s="203"/>
      <c r="F64" s="204"/>
      <c r="G64" s="204">
        <f>прил.3!G33</f>
        <v>0</v>
      </c>
      <c r="H64" s="204">
        <f t="shared" si="17"/>
        <v>0</v>
      </c>
      <c r="I64" s="204">
        <f t="shared" si="17"/>
        <v>0</v>
      </c>
      <c r="J64" s="204">
        <f t="shared" si="17"/>
        <v>0</v>
      </c>
      <c r="K64" s="204">
        <f t="shared" si="17"/>
        <v>0</v>
      </c>
    </row>
    <row r="65" spans="1:82" ht="12.75" hidden="1" customHeight="1">
      <c r="A65" s="190"/>
      <c r="B65" s="171" t="s">
        <v>207</v>
      </c>
      <c r="C65" s="203">
        <f>прил.3!G35</f>
        <v>0</v>
      </c>
      <c r="D65" s="203"/>
      <c r="E65" s="203" t="e">
        <f>ROUND(F65/#REF!,2)</f>
        <v>#REF!</v>
      </c>
      <c r="F65" s="204"/>
      <c r="G65" s="204"/>
      <c r="H65" s="204"/>
      <c r="I65" s="204"/>
      <c r="J65" s="204"/>
      <c r="K65" s="204"/>
    </row>
    <row r="66" spans="1:82" ht="12.75" hidden="1" customHeight="1">
      <c r="A66" s="190"/>
      <c r="B66" s="171" t="s">
        <v>207</v>
      </c>
      <c r="C66" s="203">
        <f>прил.3!G38</f>
        <v>0</v>
      </c>
      <c r="D66" s="203"/>
      <c r="E66" s="203" t="e">
        <f>ROUND(F66/#REF!,2)</f>
        <v>#REF!</v>
      </c>
      <c r="F66" s="204"/>
      <c r="G66" s="204"/>
      <c r="H66" s="204"/>
      <c r="I66" s="204"/>
      <c r="J66" s="204"/>
      <c r="K66" s="204"/>
    </row>
    <row r="67" spans="1:82" ht="12.75" hidden="1" customHeight="1">
      <c r="A67" s="190"/>
      <c r="B67" s="171" t="s">
        <v>207</v>
      </c>
      <c r="C67" s="203">
        <f>прил.3!G45</f>
        <v>0</v>
      </c>
      <c r="D67" s="203"/>
      <c r="E67" s="203" t="e">
        <f>ROUND(F67/#REF!,2)</f>
        <v>#REF!</v>
      </c>
      <c r="F67" s="204"/>
      <c r="G67" s="204"/>
      <c r="H67" s="204"/>
      <c r="I67" s="204"/>
      <c r="J67" s="204"/>
      <c r="K67" s="204"/>
    </row>
    <row r="68" spans="1:82" ht="12.75" hidden="1" customHeight="1">
      <c r="A68" s="190"/>
      <c r="B68" s="171" t="s">
        <v>207</v>
      </c>
      <c r="C68" s="203">
        <f>прил.3!G46</f>
        <v>0</v>
      </c>
      <c r="D68" s="203"/>
      <c r="E68" s="203" t="e">
        <f>ROUND(F68/#REF!,2)</f>
        <v>#REF!</v>
      </c>
      <c r="F68" s="204"/>
      <c r="G68" s="204"/>
      <c r="H68" s="204"/>
      <c r="I68" s="204"/>
      <c r="J68" s="204"/>
      <c r="K68" s="204"/>
    </row>
    <row r="69" spans="1:82" ht="12.75" hidden="1" customHeight="1">
      <c r="A69" s="190"/>
      <c r="B69" s="171" t="s">
        <v>207</v>
      </c>
      <c r="C69" s="203">
        <f>прил.3!G48</f>
        <v>0</v>
      </c>
      <c r="D69" s="203"/>
      <c r="E69" s="203" t="e">
        <f>ROUND(F69/#REF!,2)</f>
        <v>#REF!</v>
      </c>
      <c r="F69" s="204"/>
      <c r="G69" s="204"/>
      <c r="H69" s="204"/>
      <c r="I69" s="204"/>
      <c r="J69" s="204"/>
      <c r="K69" s="204"/>
    </row>
    <row r="70" spans="1:82" ht="12.75" customHeight="1">
      <c r="A70" s="191" t="s">
        <v>146</v>
      </c>
      <c r="B70" s="191"/>
      <c r="C70" s="206">
        <f>SUM(C42:C64)</f>
        <v>416453</v>
      </c>
      <c r="D70" s="206">
        <f t="shared" ref="D70:K70" si="18">SUM(D42:D64)</f>
        <v>0</v>
      </c>
      <c r="E70" s="206">
        <f t="shared" si="18"/>
        <v>0</v>
      </c>
      <c r="F70" s="206">
        <f t="shared" si="18"/>
        <v>0</v>
      </c>
      <c r="G70" s="206">
        <f t="shared" si="18"/>
        <v>416453</v>
      </c>
      <c r="H70" s="206">
        <f>SUM(H42:H64)</f>
        <v>645.67000000000007</v>
      </c>
      <c r="I70" s="206">
        <f t="shared" si="18"/>
        <v>645.67000000000007</v>
      </c>
      <c r="J70" s="206">
        <f t="shared" si="18"/>
        <v>645.67000000000007</v>
      </c>
      <c r="K70" s="206">
        <f t="shared" si="18"/>
        <v>645.67000000000007</v>
      </c>
    </row>
    <row r="71" spans="1:82" ht="24" customHeight="1">
      <c r="A71" s="462" t="s">
        <v>221</v>
      </c>
      <c r="B71" s="448"/>
      <c r="C71" s="448"/>
      <c r="D71" s="448"/>
      <c r="E71" s="448"/>
      <c r="F71" s="448"/>
      <c r="G71" s="448"/>
      <c r="H71" s="448"/>
      <c r="I71" s="448"/>
      <c r="J71" s="448"/>
      <c r="K71" s="448"/>
    </row>
    <row r="72" spans="1:82" ht="19.5" customHeight="1">
      <c r="A72" s="203" t="s">
        <v>222</v>
      </c>
      <c r="B72" s="203" t="s">
        <v>207</v>
      </c>
      <c r="C72" s="203">
        <f>прил.3!G66</f>
        <v>46370</v>
      </c>
      <c r="D72" s="203"/>
      <c r="E72" s="203"/>
      <c r="F72" s="204"/>
      <c r="G72" s="204">
        <f>прил.3!G66</f>
        <v>46370</v>
      </c>
      <c r="H72" s="204">
        <f>IF(H$5&lt;=0,0,IF($G72=0,0,ROUND($G72/($H$5+$I$5+$J$5+$K$5),2)))</f>
        <v>71.89</v>
      </c>
      <c r="I72" s="204">
        <f>IF(I$5&lt;=0,0,IF($G72=0,0,ROUND($G72/($H$5+$I$5+$J$5+$K$5),2)))</f>
        <v>71.89</v>
      </c>
      <c r="J72" s="204">
        <f>IF(J$5&lt;=0,0,IF($G72=0,0,ROUND($G72/($H$5+$I$5+$J$5+$K$5),2)))</f>
        <v>71.89</v>
      </c>
      <c r="K72" s="204">
        <f>IF(K$5&lt;=0,0,IF($G72=0,0,ROUND($G72/($H$5+$I$5+$J$5+$K$5),2)))</f>
        <v>71.89</v>
      </c>
    </row>
    <row r="73" spans="1:82" ht="12.75" hidden="1" customHeight="1">
      <c r="A73" s="203"/>
      <c r="B73" s="203"/>
      <c r="C73" s="203"/>
      <c r="D73" s="203"/>
      <c r="E73" s="203"/>
      <c r="F73" s="204"/>
      <c r="G73" s="204"/>
      <c r="H73" s="204"/>
      <c r="I73" s="204"/>
      <c r="J73" s="204"/>
      <c r="K73" s="204"/>
    </row>
    <row r="74" spans="1:82" ht="12.75" hidden="1" customHeight="1">
      <c r="A74" s="203"/>
      <c r="B74" s="203"/>
      <c r="C74" s="203"/>
      <c r="D74" s="203"/>
      <c r="E74" s="203"/>
      <c r="F74" s="204"/>
      <c r="G74" s="204"/>
      <c r="H74" s="204"/>
      <c r="I74" s="204"/>
      <c r="J74" s="204"/>
      <c r="K74" s="204"/>
    </row>
    <row r="75" spans="1:82" ht="12.75" hidden="1" customHeight="1">
      <c r="A75" s="203"/>
      <c r="B75" s="203"/>
      <c r="C75" s="203"/>
      <c r="D75" s="203"/>
      <c r="E75" s="203"/>
      <c r="F75" s="204"/>
      <c r="G75" s="204"/>
      <c r="H75" s="204"/>
      <c r="I75" s="204"/>
      <c r="J75" s="204"/>
      <c r="K75" s="204"/>
    </row>
    <row r="76" spans="1:82" s="137" customFormat="1">
      <c r="A76" s="206" t="s">
        <v>146</v>
      </c>
      <c r="B76" s="206"/>
      <c r="C76" s="206">
        <f>SUM(C72+C75)</f>
        <v>46370</v>
      </c>
      <c r="D76" s="206">
        <f>SUM(D72+D75)</f>
        <v>0</v>
      </c>
      <c r="E76" s="206">
        <f t="shared" ref="E76:K76" si="19">SUM(E72+E75)</f>
        <v>0</v>
      </c>
      <c r="F76" s="206">
        <f t="shared" si="19"/>
        <v>0</v>
      </c>
      <c r="G76" s="206">
        <f t="shared" si="19"/>
        <v>46370</v>
      </c>
      <c r="H76" s="206">
        <f t="shared" si="19"/>
        <v>71.89</v>
      </c>
      <c r="I76" s="206">
        <f t="shared" si="19"/>
        <v>71.89</v>
      </c>
      <c r="J76" s="206">
        <f t="shared" si="19"/>
        <v>71.89</v>
      </c>
      <c r="K76" s="206">
        <f t="shared" si="19"/>
        <v>71.89</v>
      </c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</row>
    <row r="77" spans="1:82" s="138" customFormat="1" ht="21" customHeight="1">
      <c r="A77" s="462" t="s">
        <v>223</v>
      </c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</row>
    <row r="78" spans="1:82" s="138" customFormat="1">
      <c r="A78" s="192" t="str">
        <f>прил.3!B74</f>
        <v>Затраты на хоз.нужды</v>
      </c>
      <c r="B78" s="171" t="s">
        <v>207</v>
      </c>
      <c r="C78" s="203">
        <f>прил.3!E82</f>
        <v>129000</v>
      </c>
      <c r="D78" s="203"/>
      <c r="E78" s="203"/>
      <c r="F78" s="204"/>
      <c r="G78" s="204">
        <f>прил.3!E82</f>
        <v>129000</v>
      </c>
      <c r="H78" s="204">
        <f t="shared" ref="H78:K90" si="20">IF(H$5&lt;=0,0,IF($G78=0,0,ROUND($G78/($H$5+$I$5+$J$5+$K$5),2)))</f>
        <v>200</v>
      </c>
      <c r="I78" s="204">
        <f t="shared" si="20"/>
        <v>200</v>
      </c>
      <c r="J78" s="204">
        <f t="shared" si="20"/>
        <v>200</v>
      </c>
      <c r="K78" s="204">
        <f t="shared" si="20"/>
        <v>200</v>
      </c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</row>
    <row r="79" spans="1:82" s="138" customFormat="1">
      <c r="A79" s="192" t="str">
        <f>прил.3!B88</f>
        <v>Медосмотр всего:</v>
      </c>
      <c r="B79" s="171" t="s">
        <v>207</v>
      </c>
      <c r="C79" s="203">
        <f>прил.3!G88</f>
        <v>160400</v>
      </c>
      <c r="D79" s="203"/>
      <c r="E79" s="203"/>
      <c r="F79" s="204"/>
      <c r="G79" s="204">
        <f>прил.3!G88</f>
        <v>160400</v>
      </c>
      <c r="H79" s="204">
        <f t="shared" si="20"/>
        <v>248.68</v>
      </c>
      <c r="I79" s="204">
        <f t="shared" si="20"/>
        <v>248.68</v>
      </c>
      <c r="J79" s="204">
        <f t="shared" si="20"/>
        <v>248.68</v>
      </c>
      <c r="K79" s="204">
        <f t="shared" si="20"/>
        <v>248.68</v>
      </c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</row>
    <row r="80" spans="1:82" s="138" customFormat="1">
      <c r="A80" s="192" t="str">
        <f>прил.3!B94</f>
        <v>1С сопровождение</v>
      </c>
      <c r="B80" s="171" t="s">
        <v>207</v>
      </c>
      <c r="C80" s="203">
        <f>прил.3!G94</f>
        <v>14832</v>
      </c>
      <c r="D80" s="203"/>
      <c r="E80" s="203"/>
      <c r="F80" s="204"/>
      <c r="G80" s="204">
        <f>прил.3!G94</f>
        <v>14832</v>
      </c>
      <c r="H80" s="204">
        <f t="shared" si="20"/>
        <v>23</v>
      </c>
      <c r="I80" s="204">
        <f t="shared" si="20"/>
        <v>23</v>
      </c>
      <c r="J80" s="204">
        <f t="shared" si="20"/>
        <v>23</v>
      </c>
      <c r="K80" s="204">
        <f t="shared" si="20"/>
        <v>23</v>
      </c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</row>
    <row r="81" spans="1:82" s="136" customFormat="1">
      <c r="A81" s="192" t="str">
        <f>прил.3!B95</f>
        <v>Электронная отчетность</v>
      </c>
      <c r="B81" s="171" t="s">
        <v>207</v>
      </c>
      <c r="C81" s="203">
        <f>прил.3!G95</f>
        <v>2500</v>
      </c>
      <c r="D81" s="203"/>
      <c r="E81" s="203"/>
      <c r="F81" s="204"/>
      <c r="G81" s="204">
        <f>прил.3!G95</f>
        <v>2500</v>
      </c>
      <c r="H81" s="204">
        <f t="shared" si="20"/>
        <v>3.88</v>
      </c>
      <c r="I81" s="204">
        <f t="shared" si="20"/>
        <v>3.88</v>
      </c>
      <c r="J81" s="204">
        <f t="shared" si="20"/>
        <v>3.88</v>
      </c>
      <c r="K81" s="204">
        <f t="shared" si="20"/>
        <v>3.88</v>
      </c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</row>
    <row r="82" spans="1:82" s="136" customFormat="1">
      <c r="A82" s="192" t="s">
        <v>303</v>
      </c>
      <c r="B82" s="171" t="s">
        <v>207</v>
      </c>
      <c r="C82" s="203">
        <f>прил.3!G99</f>
        <v>4700</v>
      </c>
      <c r="D82" s="203"/>
      <c r="E82" s="203"/>
      <c r="F82" s="204"/>
      <c r="G82" s="204">
        <f>прил.3!G99</f>
        <v>4700</v>
      </c>
      <c r="H82" s="204">
        <f t="shared" si="20"/>
        <v>7.29</v>
      </c>
      <c r="I82" s="204">
        <f t="shared" si="20"/>
        <v>7.29</v>
      </c>
      <c r="J82" s="204">
        <f t="shared" si="20"/>
        <v>7.29</v>
      </c>
      <c r="K82" s="204">
        <f t="shared" si="20"/>
        <v>7.29</v>
      </c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</row>
    <row r="83" spans="1:82" s="138" customFormat="1">
      <c r="A83" s="192" t="s">
        <v>311</v>
      </c>
      <c r="B83" s="171" t="s">
        <v>207</v>
      </c>
      <c r="C83" s="203">
        <f>прил.3!G97</f>
        <v>0</v>
      </c>
      <c r="D83" s="203"/>
      <c r="E83" s="203"/>
      <c r="F83" s="203"/>
      <c r="G83" s="203">
        <f>прил.3!G97</f>
        <v>0</v>
      </c>
      <c r="H83" s="204">
        <f t="shared" si="20"/>
        <v>0</v>
      </c>
      <c r="I83" s="204">
        <f t="shared" si="20"/>
        <v>0</v>
      </c>
      <c r="J83" s="204">
        <f t="shared" si="20"/>
        <v>0</v>
      </c>
      <c r="K83" s="204">
        <f t="shared" si="20"/>
        <v>0</v>
      </c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</row>
    <row r="84" spans="1:82" s="138" customFormat="1" hidden="1">
      <c r="A84" s="192"/>
      <c r="B84" s="171" t="s">
        <v>207</v>
      </c>
      <c r="C84" s="203">
        <f>прил.3!G97</f>
        <v>0</v>
      </c>
      <c r="D84" s="203"/>
      <c r="E84" s="203"/>
      <c r="F84" s="204"/>
      <c r="G84" s="204">
        <f>прил.3!G97</f>
        <v>0</v>
      </c>
      <c r="H84" s="204">
        <f t="shared" si="20"/>
        <v>0</v>
      </c>
      <c r="I84" s="204">
        <f t="shared" si="20"/>
        <v>0</v>
      </c>
      <c r="J84" s="204">
        <f t="shared" si="20"/>
        <v>0</v>
      </c>
      <c r="K84" s="204">
        <f t="shared" si="20"/>
        <v>0</v>
      </c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</row>
    <row r="85" spans="1:82" s="138" customFormat="1" hidden="1">
      <c r="A85" s="192"/>
      <c r="B85" s="171" t="s">
        <v>207</v>
      </c>
      <c r="C85" s="203">
        <f>прил.3!G98</f>
        <v>51480</v>
      </c>
      <c r="D85" s="203"/>
      <c r="E85" s="203"/>
      <c r="F85" s="204"/>
      <c r="G85" s="204">
        <f>прил.3!G98</f>
        <v>51480</v>
      </c>
      <c r="H85" s="204">
        <f t="shared" si="20"/>
        <v>79.81</v>
      </c>
      <c r="I85" s="204">
        <f t="shared" si="20"/>
        <v>79.81</v>
      </c>
      <c r="J85" s="204">
        <f t="shared" si="20"/>
        <v>79.81</v>
      </c>
      <c r="K85" s="204">
        <f t="shared" si="20"/>
        <v>79.81</v>
      </c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</row>
    <row r="86" spans="1:82" s="138" customFormat="1" hidden="1">
      <c r="A86" s="192"/>
      <c r="B86" s="171" t="s">
        <v>207</v>
      </c>
      <c r="C86" s="203"/>
      <c r="D86" s="203"/>
      <c r="E86" s="203"/>
      <c r="F86" s="204"/>
      <c r="G86" s="204"/>
      <c r="H86" s="204">
        <f t="shared" si="20"/>
        <v>0</v>
      </c>
      <c r="I86" s="204">
        <f t="shared" si="20"/>
        <v>0</v>
      </c>
      <c r="J86" s="204">
        <f t="shared" si="20"/>
        <v>0</v>
      </c>
      <c r="K86" s="204">
        <f t="shared" si="20"/>
        <v>0</v>
      </c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</row>
    <row r="87" spans="1:82" s="138" customFormat="1" hidden="1">
      <c r="A87" s="192"/>
      <c r="B87" s="171" t="s">
        <v>207</v>
      </c>
      <c r="C87" s="203">
        <f>прил.3!G100</f>
        <v>0</v>
      </c>
      <c r="D87" s="203"/>
      <c r="E87" s="203"/>
      <c r="F87" s="204"/>
      <c r="G87" s="204"/>
      <c r="H87" s="204">
        <f t="shared" si="20"/>
        <v>0</v>
      </c>
      <c r="I87" s="204">
        <f t="shared" si="20"/>
        <v>0</v>
      </c>
      <c r="J87" s="204">
        <f t="shared" si="20"/>
        <v>0</v>
      </c>
      <c r="K87" s="204">
        <f t="shared" si="20"/>
        <v>0</v>
      </c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</row>
    <row r="88" spans="1:82" s="138" customFormat="1" hidden="1">
      <c r="A88" s="192"/>
      <c r="B88" s="171" t="s">
        <v>207</v>
      </c>
      <c r="C88" s="203">
        <f>прил.3!G101</f>
        <v>0</v>
      </c>
      <c r="D88" s="203"/>
      <c r="E88" s="203"/>
      <c r="F88" s="204"/>
      <c r="G88" s="204"/>
      <c r="H88" s="204">
        <f t="shared" si="20"/>
        <v>0</v>
      </c>
      <c r="I88" s="204">
        <f t="shared" si="20"/>
        <v>0</v>
      </c>
      <c r="J88" s="204">
        <f t="shared" si="20"/>
        <v>0</v>
      </c>
      <c r="K88" s="204">
        <f t="shared" si="20"/>
        <v>0</v>
      </c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</row>
    <row r="89" spans="1:82" s="138" customFormat="1" hidden="1">
      <c r="A89" s="175"/>
      <c r="B89" s="171" t="s">
        <v>207</v>
      </c>
      <c r="C89" s="203">
        <f>прил.3!G102</f>
        <v>0</v>
      </c>
      <c r="D89" s="203"/>
      <c r="E89" s="203"/>
      <c r="F89" s="204"/>
      <c r="G89" s="204"/>
      <c r="H89" s="204">
        <f t="shared" si="20"/>
        <v>0</v>
      </c>
      <c r="I89" s="204">
        <f t="shared" si="20"/>
        <v>0</v>
      </c>
      <c r="J89" s="204">
        <f t="shared" si="20"/>
        <v>0</v>
      </c>
      <c r="K89" s="204">
        <f t="shared" si="20"/>
        <v>0</v>
      </c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</row>
    <row r="90" spans="1:82" s="138" customFormat="1" hidden="1">
      <c r="A90" s="175"/>
      <c r="B90" s="171"/>
      <c r="C90" s="203"/>
      <c r="D90" s="203"/>
      <c r="E90" s="203"/>
      <c r="F90" s="204"/>
      <c r="G90" s="204"/>
      <c r="H90" s="204">
        <f t="shared" si="20"/>
        <v>0</v>
      </c>
      <c r="I90" s="204">
        <f t="shared" si="20"/>
        <v>0</v>
      </c>
      <c r="J90" s="204">
        <f t="shared" si="20"/>
        <v>0</v>
      </c>
      <c r="K90" s="204">
        <f t="shared" si="20"/>
        <v>0</v>
      </c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</row>
    <row r="91" spans="1:82" s="136" customFormat="1">
      <c r="A91" s="193" t="s">
        <v>224</v>
      </c>
      <c r="B91" s="193"/>
      <c r="C91" s="209">
        <f>SUM(C78:C90)</f>
        <v>362912</v>
      </c>
      <c r="D91" s="209">
        <f>SUM(D78:D90)</f>
        <v>0</v>
      </c>
      <c r="E91" s="209">
        <f t="shared" ref="E91:K91" si="21">SUM(E78:E90)</f>
        <v>0</v>
      </c>
      <c r="F91" s="209">
        <f t="shared" si="21"/>
        <v>0</v>
      </c>
      <c r="G91" s="209">
        <f t="shared" si="21"/>
        <v>362912</v>
      </c>
      <c r="H91" s="209">
        <f t="shared" si="21"/>
        <v>562.66000000000008</v>
      </c>
      <c r="I91" s="209">
        <f t="shared" si="21"/>
        <v>562.66000000000008</v>
      </c>
      <c r="J91" s="209">
        <f t="shared" si="21"/>
        <v>562.66000000000008</v>
      </c>
      <c r="K91" s="209">
        <f t="shared" si="21"/>
        <v>562.66000000000008</v>
      </c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</row>
    <row r="92" spans="1:82" s="138" customFormat="1" ht="31.5" hidden="1" customHeight="1">
      <c r="A92" s="452" t="s">
        <v>225</v>
      </c>
      <c r="B92" s="452"/>
      <c r="C92" s="452"/>
      <c r="D92" s="452"/>
      <c r="E92" s="452"/>
      <c r="F92" s="452"/>
      <c r="G92" s="452"/>
      <c r="H92" s="452"/>
      <c r="I92" s="452"/>
      <c r="J92" s="452"/>
      <c r="K92" s="45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</row>
    <row r="93" spans="1:82" s="136" customFormat="1" hidden="1">
      <c r="A93" s="194" t="s">
        <v>186</v>
      </c>
      <c r="B93" s="171" t="s">
        <v>207</v>
      </c>
      <c r="C93" s="203">
        <f>прил.4!F6</f>
        <v>0</v>
      </c>
      <c r="D93" s="203"/>
      <c r="E93" s="203"/>
      <c r="F93" s="204"/>
      <c r="G93" s="204">
        <f>прил.4!F6</f>
        <v>0</v>
      </c>
      <c r="H93" s="204">
        <f t="shared" ref="H93:K94" si="22">IF(H$5&lt;=0,0,IF($G93=0,0,ROUND($G93/($H$5+$I$5+$J$5+$K$5),2)))</f>
        <v>0</v>
      </c>
      <c r="I93" s="204">
        <f t="shared" si="22"/>
        <v>0</v>
      </c>
      <c r="J93" s="204">
        <f t="shared" si="22"/>
        <v>0</v>
      </c>
      <c r="K93" s="204">
        <f t="shared" si="22"/>
        <v>0</v>
      </c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</row>
    <row r="94" spans="1:82" s="138" customFormat="1" hidden="1">
      <c r="A94" s="194" t="s">
        <v>187</v>
      </c>
      <c r="B94" s="171" t="s">
        <v>207</v>
      </c>
      <c r="C94" s="203">
        <f>прил.4!F7</f>
        <v>0</v>
      </c>
      <c r="D94" s="203"/>
      <c r="E94" s="203"/>
      <c r="F94" s="204"/>
      <c r="G94" s="204">
        <f>прил.4!F7</f>
        <v>0</v>
      </c>
      <c r="H94" s="204">
        <f t="shared" si="22"/>
        <v>0</v>
      </c>
      <c r="I94" s="204">
        <f t="shared" si="22"/>
        <v>0</v>
      </c>
      <c r="J94" s="204">
        <f t="shared" si="22"/>
        <v>0</v>
      </c>
      <c r="K94" s="204">
        <f t="shared" si="22"/>
        <v>0</v>
      </c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</row>
    <row r="95" spans="1:82" s="138" customFormat="1" hidden="1">
      <c r="A95" s="191" t="s">
        <v>224</v>
      </c>
      <c r="B95" s="191"/>
      <c r="C95" s="206">
        <f>C93+C94</f>
        <v>0</v>
      </c>
      <c r="D95" s="206">
        <f>D93+D94</f>
        <v>0</v>
      </c>
      <c r="E95" s="206">
        <f t="shared" ref="E95:K95" si="23">E93+E94</f>
        <v>0</v>
      </c>
      <c r="F95" s="206">
        <f t="shared" si="23"/>
        <v>0</v>
      </c>
      <c r="G95" s="206">
        <f t="shared" si="23"/>
        <v>0</v>
      </c>
      <c r="H95" s="206">
        <f t="shared" si="23"/>
        <v>0</v>
      </c>
      <c r="I95" s="206">
        <f t="shared" si="23"/>
        <v>0</v>
      </c>
      <c r="J95" s="206">
        <f t="shared" si="23"/>
        <v>0</v>
      </c>
      <c r="K95" s="206">
        <f t="shared" si="23"/>
        <v>0</v>
      </c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</row>
    <row r="96" spans="1:82" s="138" customFormat="1" ht="21.75" hidden="1" customHeight="1">
      <c r="A96" s="454" t="s">
        <v>226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</row>
    <row r="97" spans="1:82" s="136" customFormat="1" hidden="1">
      <c r="A97" s="194" t="s">
        <v>190</v>
      </c>
      <c r="B97" s="171" t="s">
        <v>207</v>
      </c>
      <c r="C97" s="210">
        <f>прил.4!F12</f>
        <v>0</v>
      </c>
      <c r="D97" s="210"/>
      <c r="E97" s="203"/>
      <c r="F97" s="204"/>
      <c r="G97" s="204">
        <f>прил.4!F12</f>
        <v>0</v>
      </c>
      <c r="H97" s="204">
        <f t="shared" ref="H97:K100" si="24">IF(H$5&lt;=0,0,IF($G97=0,0,ROUND($G97/($H$5+$I$5+$J$5+$K$5),2)))</f>
        <v>0</v>
      </c>
      <c r="I97" s="204">
        <f t="shared" si="24"/>
        <v>0</v>
      </c>
      <c r="J97" s="204">
        <f t="shared" si="24"/>
        <v>0</v>
      </c>
      <c r="K97" s="204">
        <f t="shared" si="24"/>
        <v>0</v>
      </c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</row>
    <row r="98" spans="1:82" s="138" customFormat="1" hidden="1">
      <c r="A98" s="194" t="s">
        <v>191</v>
      </c>
      <c r="B98" s="171" t="s">
        <v>207</v>
      </c>
      <c r="C98" s="210">
        <f>прил.4!F13</f>
        <v>0</v>
      </c>
      <c r="D98" s="210"/>
      <c r="E98" s="203"/>
      <c r="F98" s="204"/>
      <c r="G98" s="204">
        <f>прил.4!F13</f>
        <v>0</v>
      </c>
      <c r="H98" s="204">
        <f t="shared" si="24"/>
        <v>0</v>
      </c>
      <c r="I98" s="204">
        <f t="shared" si="24"/>
        <v>0</v>
      </c>
      <c r="J98" s="204">
        <f t="shared" si="24"/>
        <v>0</v>
      </c>
      <c r="K98" s="204">
        <f t="shared" si="24"/>
        <v>0</v>
      </c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</row>
    <row r="99" spans="1:82" s="138" customFormat="1" hidden="1">
      <c r="A99" s="194" t="s">
        <v>192</v>
      </c>
      <c r="B99" s="171" t="s">
        <v>207</v>
      </c>
      <c r="C99" s="210">
        <f>ROUND(прил.4!F14/12,2)</f>
        <v>0</v>
      </c>
      <c r="D99" s="210"/>
      <c r="E99" s="210"/>
      <c r="F99" s="204"/>
      <c r="G99" s="204">
        <f>прил.4!F14</f>
        <v>0</v>
      </c>
      <c r="H99" s="204">
        <f t="shared" si="24"/>
        <v>0</v>
      </c>
      <c r="I99" s="204">
        <f t="shared" si="24"/>
        <v>0</v>
      </c>
      <c r="J99" s="204">
        <f t="shared" si="24"/>
        <v>0</v>
      </c>
      <c r="K99" s="204">
        <f t="shared" si="24"/>
        <v>0</v>
      </c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</row>
    <row r="100" spans="1:82" s="138" customFormat="1" hidden="1">
      <c r="A100" s="194"/>
      <c r="B100" s="171" t="s">
        <v>207</v>
      </c>
      <c r="C100" s="210"/>
      <c r="D100" s="210"/>
      <c r="E100" s="210"/>
      <c r="F100" s="204"/>
      <c r="G100" s="204"/>
      <c r="H100" s="204">
        <f t="shared" si="24"/>
        <v>0</v>
      </c>
      <c r="I100" s="204">
        <f t="shared" si="24"/>
        <v>0</v>
      </c>
      <c r="J100" s="204">
        <f t="shared" si="24"/>
        <v>0</v>
      </c>
      <c r="K100" s="204">
        <f t="shared" si="24"/>
        <v>0</v>
      </c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</row>
    <row r="101" spans="1:82" s="138" customFormat="1" hidden="1">
      <c r="A101" s="191" t="s">
        <v>224</v>
      </c>
      <c r="B101" s="191"/>
      <c r="C101" s="206">
        <f>C97+C98+C99+C100</f>
        <v>0</v>
      </c>
      <c r="D101" s="206">
        <f>D97+D98+D99+D100</f>
        <v>0</v>
      </c>
      <c r="E101" s="206">
        <f t="shared" ref="E101:K101" si="25">E97+E98+E99+E100</f>
        <v>0</v>
      </c>
      <c r="F101" s="206">
        <f t="shared" si="25"/>
        <v>0</v>
      </c>
      <c r="G101" s="206">
        <f t="shared" si="25"/>
        <v>0</v>
      </c>
      <c r="H101" s="206">
        <f t="shared" si="25"/>
        <v>0</v>
      </c>
      <c r="I101" s="206">
        <f t="shared" si="25"/>
        <v>0</v>
      </c>
      <c r="J101" s="206">
        <f t="shared" si="25"/>
        <v>0</v>
      </c>
      <c r="K101" s="206">
        <f t="shared" si="25"/>
        <v>0</v>
      </c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</row>
    <row r="102" spans="1:82" s="138" customFormat="1" ht="36.75" hidden="1" customHeight="1">
      <c r="A102" s="452" t="s">
        <v>227</v>
      </c>
      <c r="B102" s="452"/>
      <c r="C102" s="452"/>
      <c r="D102" s="452"/>
      <c r="E102" s="452"/>
      <c r="F102" s="452"/>
      <c r="G102" s="452"/>
      <c r="H102" s="452"/>
      <c r="I102" s="452"/>
      <c r="J102" s="452"/>
      <c r="K102" s="45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</row>
    <row r="103" spans="1:82" s="138" customFormat="1" hidden="1">
      <c r="A103" s="194" t="s">
        <v>197</v>
      </c>
      <c r="B103" s="171" t="s">
        <v>207</v>
      </c>
      <c r="C103" s="210">
        <f>прил.4!F22</f>
        <v>0</v>
      </c>
      <c r="D103" s="210"/>
      <c r="E103" s="203"/>
      <c r="F103" s="204"/>
      <c r="G103" s="204">
        <f>прил.4!F22</f>
        <v>0</v>
      </c>
      <c r="H103" s="204">
        <f>IF(H$5&lt;=0,0,IF($G103=0,0,ROUND($G103/($H$5+$I$5+$J$5+$K$5),2)))</f>
        <v>0</v>
      </c>
      <c r="I103" s="204">
        <f>IF(I$5&lt;=0,0,IF($G103=0,0,ROUND($G103/($H$5+$I$5+$J$5+$K$5),2)))</f>
        <v>0</v>
      </c>
      <c r="J103" s="204">
        <f>IF(J$5&lt;=0,0,IF($G103=0,0,ROUND($G103/($H$5+$I$5+$J$5+$K$5),2)))</f>
        <v>0</v>
      </c>
      <c r="K103" s="204">
        <f>IF(K$5&lt;=0,0,IF($G103=0,0,ROUND($G103/($H$5+$I$5+$J$5+$K$5),2)))</f>
        <v>0</v>
      </c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</row>
    <row r="104" spans="1:82" s="138" customFormat="1" hidden="1">
      <c r="A104" s="191" t="s">
        <v>224</v>
      </c>
      <c r="B104" s="191"/>
      <c r="C104" s="206">
        <f>C103</f>
        <v>0</v>
      </c>
      <c r="D104" s="206">
        <f>D103</f>
        <v>0</v>
      </c>
      <c r="E104" s="206">
        <f t="shared" ref="E104:K104" si="26">E103</f>
        <v>0</v>
      </c>
      <c r="F104" s="206">
        <f t="shared" si="26"/>
        <v>0</v>
      </c>
      <c r="G104" s="206">
        <f t="shared" si="26"/>
        <v>0</v>
      </c>
      <c r="H104" s="206">
        <f t="shared" si="26"/>
        <v>0</v>
      </c>
      <c r="I104" s="206">
        <f t="shared" si="26"/>
        <v>0</v>
      </c>
      <c r="J104" s="206">
        <f t="shared" si="26"/>
        <v>0</v>
      </c>
      <c r="K104" s="206">
        <f t="shared" si="26"/>
        <v>0</v>
      </c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</row>
    <row r="105" spans="1:82" s="138" customFormat="1" ht="25.5" hidden="1" customHeight="1">
      <c r="A105" s="454" t="s">
        <v>228</v>
      </c>
      <c r="B105" s="454"/>
      <c r="C105" s="454"/>
      <c r="D105" s="454"/>
      <c r="E105" s="454"/>
      <c r="F105" s="454"/>
      <c r="G105" s="454"/>
      <c r="H105" s="454"/>
      <c r="I105" s="454"/>
      <c r="J105" s="454"/>
      <c r="K105" s="454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</row>
    <row r="106" spans="1:82" s="139" customFormat="1" hidden="1">
      <c r="A106" s="194"/>
      <c r="B106" s="171" t="s">
        <v>207</v>
      </c>
      <c r="C106" s="210">
        <f>прил.4!F29</f>
        <v>0</v>
      </c>
      <c r="D106" s="210"/>
      <c r="E106" s="203"/>
      <c r="F106" s="204"/>
      <c r="G106" s="204"/>
      <c r="H106" s="204">
        <f t="shared" ref="H106:K107" si="27">IF(H$5&lt;=0,0,IF($G106=0,0,ROUND($G106/($H$5+$I$5+$J$5+$K$5),2)))</f>
        <v>0</v>
      </c>
      <c r="I106" s="204">
        <f t="shared" si="27"/>
        <v>0</v>
      </c>
      <c r="J106" s="204">
        <f t="shared" si="27"/>
        <v>0</v>
      </c>
      <c r="K106" s="204">
        <f t="shared" si="27"/>
        <v>0</v>
      </c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</row>
    <row r="107" spans="1:82" hidden="1">
      <c r="A107" s="194"/>
      <c r="B107" s="171" t="s">
        <v>207</v>
      </c>
      <c r="C107" s="210">
        <f>прил.4!F30</f>
        <v>0</v>
      </c>
      <c r="D107" s="210"/>
      <c r="E107" s="203"/>
      <c r="F107" s="204"/>
      <c r="G107" s="204"/>
      <c r="H107" s="204">
        <f t="shared" si="27"/>
        <v>0</v>
      </c>
      <c r="I107" s="204">
        <f t="shared" si="27"/>
        <v>0</v>
      </c>
      <c r="J107" s="204">
        <f t="shared" si="27"/>
        <v>0</v>
      </c>
      <c r="K107" s="204">
        <f t="shared" si="27"/>
        <v>0</v>
      </c>
    </row>
    <row r="108" spans="1:82" hidden="1">
      <c r="A108" s="191" t="s">
        <v>224</v>
      </c>
      <c r="B108" s="191"/>
      <c r="C108" s="206">
        <f>C106+C107</f>
        <v>0</v>
      </c>
      <c r="D108" s="206">
        <f>D106+D107</f>
        <v>0</v>
      </c>
      <c r="E108" s="206">
        <f t="shared" ref="E108:K108" si="28">E106+E107</f>
        <v>0</v>
      </c>
      <c r="F108" s="206">
        <f t="shared" si="28"/>
        <v>0</v>
      </c>
      <c r="G108" s="206">
        <f t="shared" si="28"/>
        <v>0</v>
      </c>
      <c r="H108" s="206">
        <f t="shared" si="28"/>
        <v>0</v>
      </c>
      <c r="I108" s="206">
        <f t="shared" si="28"/>
        <v>0</v>
      </c>
      <c r="J108" s="206">
        <f t="shared" si="28"/>
        <v>0</v>
      </c>
      <c r="K108" s="206">
        <f t="shared" si="28"/>
        <v>0</v>
      </c>
    </row>
    <row r="109" spans="1:82" ht="26.25" customHeight="1">
      <c r="A109" s="462" t="s">
        <v>229</v>
      </c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</row>
    <row r="110" spans="1:82">
      <c r="A110" s="190" t="s">
        <v>230</v>
      </c>
      <c r="B110" s="171" t="s">
        <v>207</v>
      </c>
      <c r="C110" s="203">
        <f>прил.5!I6+прил.5!I7+прил.5!I8</f>
        <v>110124</v>
      </c>
      <c r="D110" s="203"/>
      <c r="E110" s="203"/>
      <c r="F110" s="204"/>
      <c r="G110" s="204">
        <f>прил.5!I6+прил.5!I7+прил.5!I8</f>
        <v>110124</v>
      </c>
      <c r="H110" s="204">
        <f t="shared" ref="H110:K115" si="29">IF(H$5&lt;=0,0,IF($G110=0,0,ROUND($G110/($H$5+$I$5+$J$5+$K$5),2)))</f>
        <v>170.73</v>
      </c>
      <c r="I110" s="204">
        <f t="shared" si="29"/>
        <v>170.73</v>
      </c>
      <c r="J110" s="204">
        <f t="shared" si="29"/>
        <v>170.73</v>
      </c>
      <c r="K110" s="204">
        <f t="shared" si="29"/>
        <v>170.73</v>
      </c>
    </row>
    <row r="111" spans="1:82">
      <c r="A111" s="190" t="s">
        <v>231</v>
      </c>
      <c r="B111" s="171" t="s">
        <v>207</v>
      </c>
      <c r="C111" s="203">
        <f>прил.5!I9+прил.5!I10+прил.5!I11</f>
        <v>109550</v>
      </c>
      <c r="D111" s="203"/>
      <c r="E111" s="203"/>
      <c r="F111" s="204"/>
      <c r="G111" s="204">
        <f>прил.5!I9+прил.5!I10+прил.5!I11</f>
        <v>109550</v>
      </c>
      <c r="H111" s="204">
        <f t="shared" si="29"/>
        <v>169.84</v>
      </c>
      <c r="I111" s="204">
        <f t="shared" si="29"/>
        <v>169.84</v>
      </c>
      <c r="J111" s="204">
        <f t="shared" si="29"/>
        <v>169.84</v>
      </c>
      <c r="K111" s="204">
        <f t="shared" si="29"/>
        <v>169.84</v>
      </c>
    </row>
    <row r="112" spans="1:82">
      <c r="A112" s="190" t="s">
        <v>247</v>
      </c>
      <c r="B112" s="171" t="s">
        <v>207</v>
      </c>
      <c r="C112" s="203">
        <f>прил.5!I12+прил.5!I13+прил.5!I14+прил.5!I15</f>
        <v>162039</v>
      </c>
      <c r="D112" s="203"/>
      <c r="E112" s="203"/>
      <c r="F112" s="204"/>
      <c r="G112" s="204">
        <f>прил.5!I12+прил.5!I13+прил.5!I14+прил.5!I15</f>
        <v>162039</v>
      </c>
      <c r="H112" s="204">
        <f t="shared" si="29"/>
        <v>251.22</v>
      </c>
      <c r="I112" s="204">
        <f t="shared" si="29"/>
        <v>251.22</v>
      </c>
      <c r="J112" s="204">
        <f t="shared" si="29"/>
        <v>251.22</v>
      </c>
      <c r="K112" s="204">
        <f t="shared" si="29"/>
        <v>251.22</v>
      </c>
    </row>
    <row r="113" spans="1:82">
      <c r="A113" s="166" t="s">
        <v>232</v>
      </c>
      <c r="B113" s="171" t="s">
        <v>207</v>
      </c>
      <c r="C113" s="203">
        <f>прил.5!I16+прил.5!I17+прил.5!I18</f>
        <v>825864</v>
      </c>
      <c r="D113" s="203"/>
      <c r="E113" s="203"/>
      <c r="F113" s="204"/>
      <c r="G113" s="204">
        <f>прил.5!I16+прил.5!I17+прил.5!I18</f>
        <v>825864</v>
      </c>
      <c r="H113" s="204">
        <f t="shared" si="29"/>
        <v>1280.4100000000001</v>
      </c>
      <c r="I113" s="204">
        <f t="shared" si="29"/>
        <v>1280.4100000000001</v>
      </c>
      <c r="J113" s="204">
        <f t="shared" si="29"/>
        <v>1280.4100000000001</v>
      </c>
      <c r="K113" s="204">
        <f t="shared" si="29"/>
        <v>1280.4100000000001</v>
      </c>
    </row>
    <row r="114" spans="1:82">
      <c r="A114" s="166" t="s">
        <v>233</v>
      </c>
      <c r="B114" s="171" t="s">
        <v>207</v>
      </c>
      <c r="C114" s="203">
        <f>прил.5!I19+прил.5!I20+прил.5!I21+прил.5!I22</f>
        <v>700812</v>
      </c>
      <c r="D114" s="203"/>
      <c r="E114" s="203"/>
      <c r="F114" s="204"/>
      <c r="G114" s="204">
        <f>прил.5!I19+прил.5!I20+прил.5!I21+прил.5!I22</f>
        <v>700812</v>
      </c>
      <c r="H114" s="204">
        <f t="shared" si="29"/>
        <v>1086.53</v>
      </c>
      <c r="I114" s="204">
        <f t="shared" si="29"/>
        <v>1086.53</v>
      </c>
      <c r="J114" s="204">
        <f t="shared" si="29"/>
        <v>1086.53</v>
      </c>
      <c r="K114" s="204">
        <f t="shared" si="29"/>
        <v>1086.53</v>
      </c>
    </row>
    <row r="115" spans="1:82" ht="25.5" hidden="1">
      <c r="A115" s="190" t="str">
        <f>[1]прил.5!B31</f>
        <v>вывоз жидких бытовых отходов и объемов жидких бытовых отходов</v>
      </c>
      <c r="B115" s="171" t="s">
        <v>207</v>
      </c>
      <c r="C115" s="203"/>
      <c r="D115" s="203"/>
      <c r="E115" s="203"/>
      <c r="F115" s="204"/>
      <c r="G115" s="204"/>
      <c r="H115" s="204">
        <f t="shared" si="29"/>
        <v>0</v>
      </c>
      <c r="I115" s="204">
        <f t="shared" si="29"/>
        <v>0</v>
      </c>
      <c r="J115" s="204">
        <f t="shared" si="29"/>
        <v>0</v>
      </c>
      <c r="K115" s="204">
        <f t="shared" si="29"/>
        <v>0</v>
      </c>
    </row>
    <row r="116" spans="1:82" s="141" customFormat="1">
      <c r="A116" s="195" t="s">
        <v>224</v>
      </c>
      <c r="B116" s="196"/>
      <c r="C116" s="211">
        <f>SUM(C110:C115)</f>
        <v>1908389</v>
      </c>
      <c r="D116" s="211">
        <f>SUM(D110:D115)</f>
        <v>0</v>
      </c>
      <c r="E116" s="211">
        <f t="shared" ref="E116:K116" si="30">SUM(E110:E115)</f>
        <v>0</v>
      </c>
      <c r="F116" s="211">
        <f t="shared" si="30"/>
        <v>0</v>
      </c>
      <c r="G116" s="211">
        <f t="shared" si="30"/>
        <v>1908389</v>
      </c>
      <c r="H116" s="211">
        <f t="shared" si="30"/>
        <v>2958.73</v>
      </c>
      <c r="I116" s="211">
        <f t="shared" si="30"/>
        <v>2958.73</v>
      </c>
      <c r="J116" s="211">
        <f t="shared" si="30"/>
        <v>2958.73</v>
      </c>
      <c r="K116" s="211">
        <f t="shared" si="30"/>
        <v>2958.73</v>
      </c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</row>
    <row r="117" spans="1:82" ht="25.5">
      <c r="A117" s="197" t="s">
        <v>234</v>
      </c>
      <c r="B117" s="197"/>
      <c r="C117" s="205">
        <f t="shared" ref="C117:K117" si="31">C30+C70+C76+C91+C95+C101+C104+C108+C116</f>
        <v>20323495.25</v>
      </c>
      <c r="D117" s="205">
        <f t="shared" si="31"/>
        <v>15512510.25</v>
      </c>
      <c r="E117" s="205">
        <f t="shared" si="31"/>
        <v>24050.400000000001</v>
      </c>
      <c r="F117" s="205">
        <f t="shared" si="31"/>
        <v>24050.400000000001</v>
      </c>
      <c r="G117" s="205">
        <f t="shared" si="31"/>
        <v>4810985</v>
      </c>
      <c r="H117" s="205">
        <f t="shared" si="31"/>
        <v>7458.8799999999992</v>
      </c>
      <c r="I117" s="205">
        <f t="shared" si="31"/>
        <v>7458.8799999999992</v>
      </c>
      <c r="J117" s="205">
        <f t="shared" si="31"/>
        <v>7458.8799999999992</v>
      </c>
      <c r="K117" s="205">
        <f t="shared" si="31"/>
        <v>7458.8799999999992</v>
      </c>
    </row>
    <row r="118" spans="1:82" ht="27.75" customHeight="1">
      <c r="A118" s="455" t="s">
        <v>235</v>
      </c>
      <c r="B118" s="456"/>
      <c r="C118" s="456"/>
      <c r="D118" s="456"/>
      <c r="E118" s="456"/>
      <c r="F118" s="456"/>
      <c r="G118" s="456"/>
      <c r="H118" s="456"/>
      <c r="I118" s="456"/>
      <c r="J118" s="456"/>
      <c r="K118" s="456"/>
    </row>
    <row r="119" spans="1:82">
      <c r="A119" s="175" t="s">
        <v>236</v>
      </c>
      <c r="B119" s="171" t="s">
        <v>207</v>
      </c>
      <c r="C119" s="203">
        <f>прил.6!E6</f>
        <v>65077</v>
      </c>
      <c r="D119" s="203"/>
      <c r="E119" s="203"/>
      <c r="F119" s="204"/>
      <c r="G119" s="204">
        <f>прил.6!E6</f>
        <v>65077</v>
      </c>
      <c r="H119" s="204">
        <f t="shared" ref="H119:K126" si="32">IF(H$5&lt;=0,0,IF($G119=0,0,ROUND($G119/($H$5+$I$5+$J$5+$K$5),2)))</f>
        <v>100.89</v>
      </c>
      <c r="I119" s="204">
        <f t="shared" si="32"/>
        <v>100.89</v>
      </c>
      <c r="J119" s="204">
        <f t="shared" si="32"/>
        <v>100.89</v>
      </c>
      <c r="K119" s="204">
        <f t="shared" si="32"/>
        <v>100.89</v>
      </c>
    </row>
    <row r="120" spans="1:82">
      <c r="A120" s="175" t="s">
        <v>237</v>
      </c>
      <c r="B120" s="171" t="s">
        <v>207</v>
      </c>
      <c r="C120" s="203">
        <f>прил.6!E8</f>
        <v>334556</v>
      </c>
      <c r="D120" s="203"/>
      <c r="E120" s="203"/>
      <c r="F120" s="207"/>
      <c r="G120" s="207">
        <f>прил.6!E8</f>
        <v>334556</v>
      </c>
      <c r="H120" s="204">
        <f t="shared" si="32"/>
        <v>518.69000000000005</v>
      </c>
      <c r="I120" s="204">
        <f t="shared" si="32"/>
        <v>518.69000000000005</v>
      </c>
      <c r="J120" s="204">
        <f t="shared" si="32"/>
        <v>518.69000000000005</v>
      </c>
      <c r="K120" s="204">
        <f t="shared" si="32"/>
        <v>518.69000000000005</v>
      </c>
    </row>
    <row r="121" spans="1:82" hidden="1">
      <c r="A121" s="175" t="s">
        <v>238</v>
      </c>
      <c r="B121" s="171" t="s">
        <v>207</v>
      </c>
      <c r="C121" s="203">
        <f>прил.6!E10</f>
        <v>0</v>
      </c>
      <c r="D121" s="203"/>
      <c r="E121" s="203"/>
      <c r="F121" s="207"/>
      <c r="G121" s="207">
        <f>прил.6!E10</f>
        <v>0</v>
      </c>
      <c r="H121" s="204">
        <f t="shared" si="32"/>
        <v>0</v>
      </c>
      <c r="I121" s="204">
        <f t="shared" si="32"/>
        <v>0</v>
      </c>
      <c r="J121" s="204">
        <f t="shared" si="32"/>
        <v>0</v>
      </c>
      <c r="K121" s="204">
        <f t="shared" si="32"/>
        <v>0</v>
      </c>
    </row>
    <row r="122" spans="1:82" hidden="1">
      <c r="A122" s="175" t="s">
        <v>239</v>
      </c>
      <c r="B122" s="171" t="s">
        <v>207</v>
      </c>
      <c r="C122" s="203">
        <f>прил.6!E11</f>
        <v>0</v>
      </c>
      <c r="D122" s="203"/>
      <c r="E122" s="203"/>
      <c r="F122" s="207"/>
      <c r="G122" s="207">
        <f>прил.6!E11</f>
        <v>0</v>
      </c>
      <c r="H122" s="204">
        <f t="shared" si="32"/>
        <v>0</v>
      </c>
      <c r="I122" s="204">
        <f t="shared" si="32"/>
        <v>0</v>
      </c>
      <c r="J122" s="204">
        <f t="shared" si="32"/>
        <v>0</v>
      </c>
      <c r="K122" s="204">
        <f t="shared" si="32"/>
        <v>0</v>
      </c>
    </row>
    <row r="123" spans="1:82" hidden="1">
      <c r="A123" s="175" t="s">
        <v>240</v>
      </c>
      <c r="B123" s="171" t="s">
        <v>207</v>
      </c>
      <c r="C123" s="203">
        <f>прил.6!E12</f>
        <v>0</v>
      </c>
      <c r="D123" s="203"/>
      <c r="E123" s="203"/>
      <c r="F123" s="207"/>
      <c r="G123" s="207">
        <f>прил.6!E12</f>
        <v>0</v>
      </c>
      <c r="H123" s="204">
        <f t="shared" si="32"/>
        <v>0</v>
      </c>
      <c r="I123" s="204">
        <f t="shared" si="32"/>
        <v>0</v>
      </c>
      <c r="J123" s="204">
        <f t="shared" si="32"/>
        <v>0</v>
      </c>
      <c r="K123" s="204">
        <f t="shared" si="32"/>
        <v>0</v>
      </c>
    </row>
    <row r="124" spans="1:82">
      <c r="A124" s="166" t="s">
        <v>232</v>
      </c>
      <c r="B124" s="171" t="s">
        <v>207</v>
      </c>
      <c r="C124" s="203">
        <f>прил.6!G20+прил.6!G21+прил.6!G22</f>
        <v>825864</v>
      </c>
      <c r="D124" s="203"/>
      <c r="E124" s="203"/>
      <c r="F124" s="204"/>
      <c r="G124" s="204">
        <f>прил.6!G20+прил.6!G21+прил.6!G22</f>
        <v>825864</v>
      </c>
      <c r="H124" s="204">
        <f t="shared" si="32"/>
        <v>1280.4100000000001</v>
      </c>
      <c r="I124" s="204">
        <f t="shared" si="32"/>
        <v>1280.4100000000001</v>
      </c>
      <c r="J124" s="204">
        <f t="shared" si="32"/>
        <v>1280.4100000000001</v>
      </c>
      <c r="K124" s="204">
        <f t="shared" si="32"/>
        <v>1280.4100000000001</v>
      </c>
    </row>
    <row r="125" spans="1:82">
      <c r="A125" s="166" t="s">
        <v>233</v>
      </c>
      <c r="B125" s="171" t="s">
        <v>207</v>
      </c>
      <c r="C125" s="203">
        <f>прил.6!G23+прил.6!G24+прил.6!G25+прил.6!G26</f>
        <v>77868</v>
      </c>
      <c r="D125" s="203"/>
      <c r="E125" s="203"/>
      <c r="F125" s="204"/>
      <c r="G125" s="204">
        <f>прил.6!G23+прил.6!G24+прил.6!G25+прил.6!G26</f>
        <v>77868</v>
      </c>
      <c r="H125" s="204">
        <f t="shared" si="32"/>
        <v>120.73</v>
      </c>
      <c r="I125" s="204">
        <f t="shared" si="32"/>
        <v>120.73</v>
      </c>
      <c r="J125" s="204">
        <f t="shared" si="32"/>
        <v>120.73</v>
      </c>
      <c r="K125" s="204">
        <f t="shared" si="32"/>
        <v>120.73</v>
      </c>
    </row>
    <row r="126" spans="1:82" hidden="1">
      <c r="A126" s="175"/>
      <c r="B126" s="171"/>
      <c r="C126" s="203"/>
      <c r="D126" s="203"/>
      <c r="E126" s="203"/>
      <c r="F126" s="204"/>
      <c r="G126" s="204"/>
      <c r="H126" s="204">
        <f t="shared" si="32"/>
        <v>0</v>
      </c>
      <c r="I126" s="204">
        <f t="shared" si="32"/>
        <v>0</v>
      </c>
      <c r="J126" s="204">
        <f t="shared" si="32"/>
        <v>0</v>
      </c>
      <c r="K126" s="204">
        <f t="shared" si="32"/>
        <v>0</v>
      </c>
    </row>
    <row r="127" spans="1:82">
      <c r="A127" s="197" t="s">
        <v>224</v>
      </c>
      <c r="B127" s="198"/>
      <c r="C127" s="205">
        <f>SUM(C119:C125)</f>
        <v>1303365</v>
      </c>
      <c r="D127" s="205">
        <f>SUM(D119:D125)</f>
        <v>0</v>
      </c>
      <c r="E127" s="205">
        <f t="shared" ref="E127:K127" si="33">SUM(E119:E125)</f>
        <v>0</v>
      </c>
      <c r="F127" s="205">
        <f t="shared" si="33"/>
        <v>0</v>
      </c>
      <c r="G127" s="205">
        <f t="shared" si="33"/>
        <v>1303365</v>
      </c>
      <c r="H127" s="205">
        <f t="shared" si="33"/>
        <v>2020.7200000000003</v>
      </c>
      <c r="I127" s="205">
        <f t="shared" si="33"/>
        <v>2020.7200000000003</v>
      </c>
      <c r="J127" s="205">
        <f t="shared" si="33"/>
        <v>2020.7200000000003</v>
      </c>
      <c r="K127" s="205">
        <f t="shared" si="33"/>
        <v>2020.7200000000003</v>
      </c>
    </row>
    <row r="128" spans="1:82" ht="18.75">
      <c r="A128" s="200" t="s">
        <v>241</v>
      </c>
      <c r="B128" s="199"/>
      <c r="C128" s="212">
        <f t="shared" ref="C128:H128" si="34">C13+C117+C127</f>
        <v>38042516</v>
      </c>
      <c r="D128" s="212">
        <f t="shared" si="34"/>
        <v>31928166</v>
      </c>
      <c r="E128" s="212">
        <f t="shared" si="34"/>
        <v>49501.03</v>
      </c>
      <c r="F128" s="212">
        <f t="shared" si="34"/>
        <v>49501.04</v>
      </c>
      <c r="G128" s="212">
        <f t="shared" si="34"/>
        <v>6114350</v>
      </c>
      <c r="H128" s="212">
        <f t="shared" si="34"/>
        <v>9479.5999999999985</v>
      </c>
      <c r="I128" s="212">
        <f t="shared" ref="I128:K128" si="35">I13+I117+I127</f>
        <v>9479.5999999999985</v>
      </c>
      <c r="J128" s="212">
        <f t="shared" si="35"/>
        <v>9479.5999999999985</v>
      </c>
      <c r="K128" s="212">
        <f t="shared" si="35"/>
        <v>9479.5999999999985</v>
      </c>
    </row>
    <row r="129" spans="1:11" hidden="1">
      <c r="A129" s="176"/>
      <c r="B129" s="176"/>
      <c r="C129" s="177"/>
      <c r="D129" s="177"/>
      <c r="E129" s="176"/>
      <c r="F129" s="170"/>
      <c r="G129" s="170"/>
      <c r="H129" s="170"/>
      <c r="I129" s="170"/>
      <c r="J129" s="170"/>
      <c r="K129" s="170"/>
    </row>
    <row r="130" spans="1:11">
      <c r="A130" s="176"/>
      <c r="B130" s="176"/>
      <c r="C130" s="176"/>
      <c r="D130" s="176"/>
      <c r="E130" s="176"/>
      <c r="F130" s="170"/>
      <c r="G130" s="170"/>
      <c r="H130" s="170"/>
      <c r="I130" s="170"/>
      <c r="J130" s="170"/>
      <c r="K130" s="170"/>
    </row>
    <row r="131" spans="1:11">
      <c r="A131" s="178" t="s">
        <v>302</v>
      </c>
      <c r="B131" s="214"/>
      <c r="C131" s="176"/>
      <c r="D131" s="176"/>
      <c r="E131" s="180"/>
      <c r="F131" s="170"/>
      <c r="G131" s="170"/>
      <c r="H131" s="170"/>
      <c r="I131" s="170"/>
      <c r="J131" s="170"/>
      <c r="K131" s="170"/>
    </row>
    <row r="132" spans="1:11" hidden="1">
      <c r="A132" s="176"/>
      <c r="B132" s="214"/>
      <c r="C132" s="176"/>
      <c r="D132" s="176"/>
      <c r="E132" s="176"/>
      <c r="F132" s="170"/>
      <c r="G132" s="170"/>
      <c r="H132" s="170"/>
      <c r="I132" s="170"/>
      <c r="J132" s="170"/>
      <c r="K132" s="170"/>
    </row>
    <row r="133" spans="1:11">
      <c r="A133" s="176"/>
      <c r="B133" s="214"/>
      <c r="C133" s="176"/>
      <c r="D133" s="176"/>
      <c r="E133" s="176"/>
      <c r="F133" s="170"/>
      <c r="G133" s="170"/>
      <c r="H133" s="170"/>
      <c r="I133" s="170"/>
      <c r="J133" s="170"/>
      <c r="K133" s="170"/>
    </row>
    <row r="134" spans="1:11">
      <c r="A134" s="181" t="s">
        <v>260</v>
      </c>
      <c r="B134" s="214"/>
      <c r="C134" s="176"/>
      <c r="D134" s="176"/>
      <c r="E134" s="179"/>
      <c r="F134" s="170"/>
      <c r="G134" s="170"/>
      <c r="H134" s="170"/>
      <c r="I134" s="170"/>
      <c r="J134" s="170"/>
      <c r="K134" s="170"/>
    </row>
    <row r="135" spans="1:11">
      <c r="A135" s="142"/>
      <c r="B135" s="142"/>
      <c r="C135" s="142"/>
      <c r="D135" s="142"/>
      <c r="E135" s="142"/>
    </row>
    <row r="136" spans="1:11">
      <c r="C136" s="50">
        <f>'проверка 2017'!B13</f>
        <v>38042516</v>
      </c>
      <c r="D136" s="50">
        <f>'проверка 2017'!B14</f>
        <v>31928166</v>
      </c>
      <c r="E136" s="50">
        <f>'проверка 2017'!I19</f>
        <v>49501.03</v>
      </c>
      <c r="F136" s="303">
        <f>'проверка 2017'!J19</f>
        <v>49501.03</v>
      </c>
      <c r="G136" s="303">
        <f>'проверка 2017'!B24</f>
        <v>6114350</v>
      </c>
      <c r="H136" s="303">
        <f>'проверка 2017'!H34</f>
        <v>9479.6099999999988</v>
      </c>
      <c r="I136" s="303">
        <f>'проверка 2017'!I34</f>
        <v>9479.6099999999988</v>
      </c>
      <c r="J136" s="303">
        <f>'проверка 2017'!J34</f>
        <v>9479.6099999999988</v>
      </c>
      <c r="K136" s="303">
        <f>'проверка 2017'!K34</f>
        <v>9479.6099999999988</v>
      </c>
    </row>
    <row r="137" spans="1:11">
      <c r="C137" s="50">
        <f>C128-C136</f>
        <v>0</v>
      </c>
      <c r="D137" s="50">
        <f t="shared" ref="D137:K137" si="36">D128-D136</f>
        <v>0</v>
      </c>
      <c r="E137" s="50">
        <f t="shared" si="36"/>
        <v>0</v>
      </c>
      <c r="F137" s="50">
        <f t="shared" si="36"/>
        <v>1.0000000002037268E-2</v>
      </c>
      <c r="G137" s="50">
        <f t="shared" si="36"/>
        <v>0</v>
      </c>
      <c r="H137" s="50">
        <f t="shared" si="36"/>
        <v>-1.0000000000218279E-2</v>
      </c>
      <c r="I137" s="50">
        <f t="shared" si="36"/>
        <v>-1.0000000000218279E-2</v>
      </c>
      <c r="J137" s="50">
        <f t="shared" si="36"/>
        <v>-1.0000000000218279E-2</v>
      </c>
      <c r="K137" s="50">
        <f t="shared" si="36"/>
        <v>-1.0000000000218279E-2</v>
      </c>
    </row>
  </sheetData>
  <mergeCells count="21">
    <mergeCell ref="A118:K118"/>
    <mergeCell ref="A31:K31"/>
    <mergeCell ref="A35:K35"/>
    <mergeCell ref="A41:K41"/>
    <mergeCell ref="A71:K71"/>
    <mergeCell ref="A109:K109"/>
    <mergeCell ref="A105:K105"/>
    <mergeCell ref="A26:K26"/>
    <mergeCell ref="A8:K8"/>
    <mergeCell ref="A2:C2"/>
    <mergeCell ref="A102:K102"/>
    <mergeCell ref="A1:K1"/>
    <mergeCell ref="A96:K96"/>
    <mergeCell ref="A14:K14"/>
    <mergeCell ref="A20:K20"/>
    <mergeCell ref="A25:K25"/>
    <mergeCell ref="A3:C3"/>
    <mergeCell ref="A4:K4"/>
    <mergeCell ref="D2:K2"/>
    <mergeCell ref="A77:K77"/>
    <mergeCell ref="A92:K92"/>
  </mergeCells>
  <pageMargins left="0.35433070866141736" right="0" top="0.19685039370078741" bottom="0" header="0.31496062992125984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F13" sqref="F13"/>
    </sheetView>
  </sheetViews>
  <sheetFormatPr defaultRowHeight="15"/>
  <cols>
    <col min="1" max="1" width="12.7109375" customWidth="1"/>
    <col min="4" max="4" width="11.42578125" bestFit="1" customWidth="1"/>
  </cols>
  <sheetData>
    <row r="2" spans="1:4">
      <c r="A2">
        <v>115</v>
      </c>
      <c r="B2">
        <v>528</v>
      </c>
      <c r="C2">
        <v>1</v>
      </c>
      <c r="D2">
        <v>1</v>
      </c>
    </row>
    <row r="3" spans="1:4">
      <c r="A3">
        <v>13471.4</v>
      </c>
      <c r="B3">
        <v>13471.4</v>
      </c>
      <c r="C3">
        <v>13471.4</v>
      </c>
      <c r="D3">
        <v>13471.4</v>
      </c>
    </row>
    <row r="4" spans="1:4">
      <c r="A4">
        <v>0.55367999999999995</v>
      </c>
      <c r="B4">
        <v>0.55367999999999995</v>
      </c>
      <c r="C4">
        <v>0.55367999999999995</v>
      </c>
      <c r="D4">
        <v>0.55367999999999995</v>
      </c>
    </row>
    <row r="5" spans="1:4">
      <c r="A5">
        <f>A2*A3*A4</f>
        <v>857767.14647999988</v>
      </c>
      <c r="B5">
        <f t="shared" ref="B5:D5" si="0">B2*B3*B4</f>
        <v>3938270.0290559996</v>
      </c>
      <c r="C5">
        <f t="shared" si="0"/>
        <v>7458.8447519999991</v>
      </c>
      <c r="D5">
        <f t="shared" si="0"/>
        <v>7458.8447519999991</v>
      </c>
    </row>
    <row r="6" spans="1:4">
      <c r="D6">
        <f>A5+B5+C5+D5</f>
        <v>4810954.8650399987</v>
      </c>
    </row>
    <row r="7" spans="1:4">
      <c r="D7" s="337">
        <f>прил.6!E6+прил.6!E8+прил.6!G20+прил.6!G21+прил.6!G23</f>
        <v>1303365</v>
      </c>
    </row>
    <row r="8" spans="1:4">
      <c r="D8" s="337">
        <f>D6+D7-'проверка 2017'!B24</f>
        <v>-30.134960001334548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8"/>
  <sheetViews>
    <sheetView view="pageBreakPreview" topLeftCell="A84" zoomScale="90" zoomScaleSheetLayoutView="90" workbookViewId="0">
      <selection activeCell="M27" sqref="M27"/>
    </sheetView>
  </sheetViews>
  <sheetFormatPr defaultRowHeight="15"/>
  <cols>
    <col min="1" max="1" width="17.42578125" style="1" customWidth="1"/>
    <col min="2" max="2" width="10.85546875" style="1" customWidth="1"/>
    <col min="3" max="3" width="11.28515625" style="1" customWidth="1"/>
    <col min="4" max="5" width="10.42578125" style="1" customWidth="1"/>
    <col min="6" max="6" width="10.5703125" style="1" customWidth="1"/>
    <col min="7" max="7" width="10.42578125" style="1" customWidth="1"/>
    <col min="8" max="8" width="12.28515625" style="1" customWidth="1"/>
    <col min="9" max="9" width="22.7109375" style="1" customWidth="1"/>
    <col min="10" max="10" width="6" style="1" customWidth="1"/>
    <col min="11" max="11" width="7.28515625" style="1" customWidth="1"/>
    <col min="12" max="12" width="8.7109375" style="1" customWidth="1"/>
    <col min="13" max="14" width="10.5703125" style="1" customWidth="1"/>
    <col min="15" max="16" width="9.28515625" style="1" customWidth="1"/>
    <col min="17" max="16384" width="9.140625" style="1"/>
  </cols>
  <sheetData>
    <row r="1" spans="1:16">
      <c r="L1" s="1" t="s">
        <v>10</v>
      </c>
    </row>
    <row r="2" spans="1:16">
      <c r="L2" s="1" t="s">
        <v>19</v>
      </c>
    </row>
    <row r="3" spans="1:16">
      <c r="L3" s="1" t="s">
        <v>20</v>
      </c>
    </row>
    <row r="4" spans="1:16">
      <c r="L4" s="1" t="s">
        <v>21</v>
      </c>
    </row>
    <row r="5" spans="1:16">
      <c r="L5" s="8" t="s">
        <v>351</v>
      </c>
      <c r="N5" s="8"/>
      <c r="O5" s="8"/>
    </row>
    <row r="8" spans="1:16">
      <c r="A8" s="375" t="s">
        <v>349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</row>
    <row r="9" spans="1:16">
      <c r="A9" s="376" t="s">
        <v>350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62" t="s">
        <v>9</v>
      </c>
      <c r="P10" s="362"/>
    </row>
    <row r="11" spans="1:16">
      <c r="M11" s="379" t="s">
        <v>7</v>
      </c>
      <c r="N11" s="380"/>
      <c r="O11" s="378" t="s">
        <v>8</v>
      </c>
      <c r="P11" s="378"/>
    </row>
    <row r="12" spans="1:16">
      <c r="M12" s="6"/>
      <c r="N12" s="6" t="s">
        <v>6</v>
      </c>
      <c r="O12" s="377">
        <v>42744</v>
      </c>
      <c r="P12" s="362"/>
    </row>
    <row r="13" spans="1:16">
      <c r="A13" s="1" t="s">
        <v>0</v>
      </c>
      <c r="M13" s="6"/>
      <c r="N13" s="6"/>
      <c r="O13" s="362"/>
      <c r="P13" s="362"/>
    </row>
    <row r="14" spans="1:16">
      <c r="A14" s="383" t="s">
        <v>348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79" t="s">
        <v>4</v>
      </c>
      <c r="N14" s="380"/>
      <c r="O14" s="362"/>
      <c r="P14" s="362"/>
    </row>
    <row r="15" spans="1:16">
      <c r="A15" s="2" t="s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6"/>
      <c r="N15" s="6" t="s">
        <v>5</v>
      </c>
      <c r="O15" s="381" t="s">
        <v>354</v>
      </c>
      <c r="P15" s="381"/>
    </row>
    <row r="16" spans="1:16">
      <c r="A16" s="382" t="s">
        <v>93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6"/>
      <c r="N16" s="6" t="s">
        <v>5</v>
      </c>
      <c r="O16" s="381"/>
      <c r="P16" s="381"/>
    </row>
    <row r="17" spans="1:16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6"/>
      <c r="N17" s="6" t="s">
        <v>5</v>
      </c>
      <c r="O17" s="381"/>
      <c r="P17" s="381"/>
    </row>
    <row r="18" spans="1:16">
      <c r="A18" s="1" t="s">
        <v>2</v>
      </c>
      <c r="O18" s="362"/>
      <c r="P18" s="362"/>
    </row>
    <row r="19" spans="1:16">
      <c r="A19" s="382" t="s">
        <v>92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O19" s="362"/>
      <c r="P19" s="362"/>
    </row>
    <row r="20" spans="1:16">
      <c r="A20" s="344" t="s">
        <v>3</v>
      </c>
      <c r="B20" s="344"/>
      <c r="C20" s="344"/>
      <c r="D20" s="344"/>
      <c r="E20" s="344"/>
      <c r="F20" s="344"/>
      <c r="G20" s="344"/>
      <c r="H20" s="344"/>
      <c r="I20" s="344"/>
      <c r="J20" s="344"/>
      <c r="K20" s="5"/>
      <c r="L20" s="5"/>
    </row>
    <row r="23" spans="1:16">
      <c r="A23" s="376" t="s">
        <v>11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</row>
    <row r="24" spans="1:16">
      <c r="A24" s="376" t="s">
        <v>107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</row>
    <row r="26" spans="1:16">
      <c r="A26" s="1" t="s">
        <v>13</v>
      </c>
      <c r="E26" s="382" t="s">
        <v>94</v>
      </c>
      <c r="F26" s="382"/>
      <c r="G26" s="382"/>
      <c r="H26" s="382"/>
      <c r="I26" s="382"/>
      <c r="J26" s="382"/>
      <c r="K26" s="382"/>
      <c r="L26" s="382"/>
      <c r="M26" s="29"/>
      <c r="N26" s="29" t="s">
        <v>15</v>
      </c>
      <c r="O26" s="417" t="s">
        <v>318</v>
      </c>
      <c r="P26" s="417"/>
    </row>
    <row r="27" spans="1:16">
      <c r="A27" s="382" t="s">
        <v>95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29"/>
      <c r="N27" s="29" t="s">
        <v>16</v>
      </c>
      <c r="O27" s="417"/>
      <c r="P27" s="417"/>
    </row>
    <row r="28" spans="1:16">
      <c r="A28" s="1" t="s">
        <v>14</v>
      </c>
      <c r="M28" s="29"/>
      <c r="N28" s="29" t="s">
        <v>17</v>
      </c>
      <c r="O28" s="417"/>
      <c r="P28" s="417"/>
    </row>
    <row r="29" spans="1:16">
      <c r="A29" s="382" t="s">
        <v>96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1:16">
      <c r="A30" s="370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</row>
    <row r="31" spans="1:16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6">
      <c r="A32" s="1" t="s">
        <v>18</v>
      </c>
    </row>
    <row r="34" spans="1:16">
      <c r="A34" s="1" t="s">
        <v>22</v>
      </c>
    </row>
    <row r="36" spans="1:16" s="31" customFormat="1" ht="68.25" customHeight="1">
      <c r="A36" s="342" t="s">
        <v>23</v>
      </c>
      <c r="B36" s="342"/>
      <c r="C36" s="346" t="s">
        <v>24</v>
      </c>
      <c r="D36" s="347"/>
      <c r="E36" s="348"/>
      <c r="F36" s="342" t="s">
        <v>26</v>
      </c>
      <c r="G36" s="342"/>
      <c r="H36" s="342" t="s">
        <v>27</v>
      </c>
      <c r="I36" s="342"/>
      <c r="J36" s="342"/>
      <c r="K36" s="342"/>
      <c r="L36" s="342"/>
      <c r="M36" s="342" t="s">
        <v>28</v>
      </c>
      <c r="N36" s="342"/>
      <c r="O36" s="342"/>
      <c r="P36" s="342"/>
    </row>
    <row r="37" spans="1:16" s="31" customFormat="1" ht="24.75" customHeight="1">
      <c r="A37" s="342"/>
      <c r="B37" s="342"/>
      <c r="C37" s="342" t="s">
        <v>25</v>
      </c>
      <c r="D37" s="342" t="s">
        <v>25</v>
      </c>
      <c r="E37" s="342" t="s">
        <v>25</v>
      </c>
      <c r="F37" s="342" t="s">
        <v>25</v>
      </c>
      <c r="G37" s="342" t="s">
        <v>25</v>
      </c>
      <c r="H37" s="342" t="s">
        <v>32</v>
      </c>
      <c r="I37" s="342"/>
      <c r="J37" s="342" t="s">
        <v>29</v>
      </c>
      <c r="K37" s="342"/>
      <c r="L37" s="342"/>
      <c r="M37" s="351" t="s">
        <v>331</v>
      </c>
      <c r="N37" s="351" t="s">
        <v>332</v>
      </c>
      <c r="O37" s="353" t="s">
        <v>333</v>
      </c>
      <c r="P37" s="354"/>
    </row>
    <row r="38" spans="1:16" s="31" customFormat="1" ht="26.25" customHeight="1">
      <c r="A38" s="342"/>
      <c r="B38" s="342"/>
      <c r="C38" s="342"/>
      <c r="D38" s="342"/>
      <c r="E38" s="342"/>
      <c r="F38" s="342"/>
      <c r="G38" s="342"/>
      <c r="H38" s="342"/>
      <c r="I38" s="342"/>
      <c r="J38" s="349" t="s">
        <v>31</v>
      </c>
      <c r="K38" s="350"/>
      <c r="L38" s="33" t="s">
        <v>30</v>
      </c>
      <c r="M38" s="352"/>
      <c r="N38" s="352"/>
      <c r="O38" s="355"/>
      <c r="P38" s="356"/>
    </row>
    <row r="39" spans="1:16" s="31" customFormat="1" ht="11.25">
      <c r="A39" s="418">
        <v>1</v>
      </c>
      <c r="B39" s="418"/>
      <c r="C39" s="33">
        <v>2</v>
      </c>
      <c r="D39" s="33">
        <v>3</v>
      </c>
      <c r="E39" s="33">
        <v>4</v>
      </c>
      <c r="F39" s="33">
        <v>5</v>
      </c>
      <c r="G39" s="33">
        <v>6</v>
      </c>
      <c r="H39" s="418">
        <v>7</v>
      </c>
      <c r="I39" s="418"/>
      <c r="J39" s="349">
        <v>8</v>
      </c>
      <c r="K39" s="350"/>
      <c r="L39" s="33">
        <v>9</v>
      </c>
      <c r="M39" s="33">
        <v>10</v>
      </c>
      <c r="N39" s="33">
        <v>11</v>
      </c>
      <c r="O39" s="418">
        <v>12</v>
      </c>
      <c r="P39" s="418"/>
    </row>
    <row r="40" spans="1:16" s="31" customFormat="1" ht="112.5" customHeight="1">
      <c r="A40" s="359" t="s">
        <v>319</v>
      </c>
      <c r="B40" s="358"/>
      <c r="C40" s="32" t="s">
        <v>97</v>
      </c>
      <c r="D40" s="32" t="s">
        <v>97</v>
      </c>
      <c r="E40" s="32" t="s">
        <v>98</v>
      </c>
      <c r="F40" s="32" t="s">
        <v>99</v>
      </c>
      <c r="G40" s="32" t="s">
        <v>321</v>
      </c>
      <c r="H40" s="360" t="s">
        <v>101</v>
      </c>
      <c r="I40" s="361"/>
      <c r="J40" s="357" t="s">
        <v>103</v>
      </c>
      <c r="K40" s="358"/>
      <c r="L40" s="32" t="s">
        <v>104</v>
      </c>
      <c r="M40" s="32"/>
      <c r="N40" s="32"/>
      <c r="O40" s="357"/>
      <c r="P40" s="358"/>
    </row>
    <row r="41" spans="1:16" s="31" customFormat="1" ht="109.5" customHeight="1">
      <c r="A41" s="359" t="s">
        <v>320</v>
      </c>
      <c r="B41" s="358"/>
      <c r="C41" s="32" t="s">
        <v>97</v>
      </c>
      <c r="D41" s="32" t="s">
        <v>97</v>
      </c>
      <c r="E41" s="32" t="s">
        <v>100</v>
      </c>
      <c r="F41" s="32" t="s">
        <v>99</v>
      </c>
      <c r="G41" s="32" t="s">
        <v>321</v>
      </c>
      <c r="H41" s="360" t="s">
        <v>102</v>
      </c>
      <c r="I41" s="361"/>
      <c r="J41" s="357" t="s">
        <v>103</v>
      </c>
      <c r="K41" s="358"/>
      <c r="L41" s="32" t="s">
        <v>104</v>
      </c>
      <c r="M41" s="32"/>
      <c r="N41" s="32"/>
      <c r="O41" s="357"/>
      <c r="P41" s="358"/>
    </row>
    <row r="43" spans="1:16">
      <c r="A43" s="1" t="s">
        <v>36</v>
      </c>
    </row>
    <row r="44" spans="1:16">
      <c r="A44" s="1" t="s">
        <v>37</v>
      </c>
      <c r="D44" s="15"/>
    </row>
    <row r="45" spans="1:16">
      <c r="D45" s="8"/>
    </row>
    <row r="46" spans="1:16">
      <c r="A46" s="1" t="s">
        <v>46</v>
      </c>
    </row>
    <row r="48" spans="1:16" s="31" customFormat="1" ht="69" customHeight="1">
      <c r="A48" s="342" t="s">
        <v>23</v>
      </c>
      <c r="B48" s="342"/>
      <c r="C48" s="346" t="s">
        <v>24</v>
      </c>
      <c r="D48" s="347"/>
      <c r="E48" s="348"/>
      <c r="F48" s="342" t="s">
        <v>26</v>
      </c>
      <c r="G48" s="342"/>
      <c r="H48" s="343" t="s">
        <v>38</v>
      </c>
      <c r="I48" s="343"/>
      <c r="J48" s="343"/>
      <c r="K48" s="343" t="s">
        <v>39</v>
      </c>
      <c r="L48" s="343"/>
      <c r="M48" s="343"/>
      <c r="N48" s="367" t="s">
        <v>40</v>
      </c>
      <c r="O48" s="367"/>
      <c r="P48" s="368"/>
    </row>
    <row r="49" spans="1:16" s="31" customFormat="1" ht="42" customHeight="1">
      <c r="A49" s="342"/>
      <c r="B49" s="342"/>
      <c r="C49" s="342" t="s">
        <v>25</v>
      </c>
      <c r="D49" s="342" t="s">
        <v>25</v>
      </c>
      <c r="E49" s="342" t="s">
        <v>25</v>
      </c>
      <c r="F49" s="342" t="s">
        <v>25</v>
      </c>
      <c r="G49" s="342" t="s">
        <v>25</v>
      </c>
      <c r="H49" s="343" t="s">
        <v>32</v>
      </c>
      <c r="I49" s="343" t="s">
        <v>29</v>
      </c>
      <c r="J49" s="343"/>
      <c r="K49" s="338" t="s">
        <v>331</v>
      </c>
      <c r="L49" s="338" t="s">
        <v>332</v>
      </c>
      <c r="M49" s="338" t="s">
        <v>333</v>
      </c>
      <c r="N49" s="338" t="s">
        <v>331</v>
      </c>
      <c r="O49" s="338" t="s">
        <v>332</v>
      </c>
      <c r="P49" s="340" t="s">
        <v>333</v>
      </c>
    </row>
    <row r="50" spans="1:16" s="31" customFormat="1" ht="27.75" customHeight="1">
      <c r="A50" s="342"/>
      <c r="B50" s="342"/>
      <c r="C50" s="342"/>
      <c r="D50" s="342"/>
      <c r="E50" s="342"/>
      <c r="F50" s="342"/>
      <c r="G50" s="342"/>
      <c r="H50" s="343"/>
      <c r="I50" s="34" t="s">
        <v>42</v>
      </c>
      <c r="J50" s="35" t="s">
        <v>30</v>
      </c>
      <c r="K50" s="339"/>
      <c r="L50" s="339"/>
      <c r="M50" s="339"/>
      <c r="N50" s="339"/>
      <c r="O50" s="339"/>
      <c r="P50" s="341"/>
    </row>
    <row r="51" spans="1:16" s="31" customFormat="1" ht="11.25">
      <c r="A51" s="418">
        <v>1</v>
      </c>
      <c r="B51" s="418"/>
      <c r="C51" s="33">
        <v>2</v>
      </c>
      <c r="D51" s="33">
        <v>3</v>
      </c>
      <c r="E51" s="33">
        <v>4</v>
      </c>
      <c r="F51" s="33">
        <v>5</v>
      </c>
      <c r="G51" s="33">
        <v>6</v>
      </c>
      <c r="H51" s="35">
        <v>7</v>
      </c>
      <c r="I51" s="35">
        <v>8</v>
      </c>
      <c r="J51" s="35">
        <v>9</v>
      </c>
      <c r="K51" s="35">
        <v>10</v>
      </c>
      <c r="L51" s="35">
        <v>11</v>
      </c>
      <c r="M51" s="35">
        <v>12</v>
      </c>
      <c r="N51" s="35">
        <v>13</v>
      </c>
      <c r="O51" s="35">
        <v>14</v>
      </c>
      <c r="P51" s="35">
        <v>15</v>
      </c>
    </row>
    <row r="52" spans="1:16" s="31" customFormat="1" ht="22.5">
      <c r="A52" s="359" t="s">
        <v>319</v>
      </c>
      <c r="B52" s="358"/>
      <c r="C52" s="32" t="s">
        <v>97</v>
      </c>
      <c r="D52" s="32" t="s">
        <v>97</v>
      </c>
      <c r="E52" s="32" t="s">
        <v>98</v>
      </c>
      <c r="F52" s="32" t="s">
        <v>99</v>
      </c>
      <c r="G52" s="32" t="s">
        <v>321</v>
      </c>
      <c r="H52" s="36" t="s">
        <v>105</v>
      </c>
      <c r="I52" s="36" t="s">
        <v>106</v>
      </c>
      <c r="J52" s="36">
        <v>792</v>
      </c>
      <c r="K52" s="37">
        <f>'проверка 2017'!I12</f>
        <v>116</v>
      </c>
      <c r="L52" s="37">
        <f>'проверка 2018 '!I12</f>
        <v>116</v>
      </c>
      <c r="M52" s="37">
        <f>'проверка 2019'!I12</f>
        <v>116</v>
      </c>
      <c r="N52" s="57">
        <f>'проверка 2017'!I19</f>
        <v>49501.03</v>
      </c>
      <c r="O52" s="333">
        <f>'проверка 2018 '!I19</f>
        <v>50702.880000000005</v>
      </c>
      <c r="P52" s="57">
        <f>'проверка 2019'!I19</f>
        <v>51213.5</v>
      </c>
    </row>
    <row r="53" spans="1:16" s="31" customFormat="1" ht="22.5">
      <c r="A53" s="359" t="s">
        <v>320</v>
      </c>
      <c r="B53" s="358"/>
      <c r="C53" s="32" t="s">
        <v>97</v>
      </c>
      <c r="D53" s="32" t="s">
        <v>97</v>
      </c>
      <c r="E53" s="32" t="s">
        <v>100</v>
      </c>
      <c r="F53" s="32" t="s">
        <v>99</v>
      </c>
      <c r="G53" s="32" t="s">
        <v>321</v>
      </c>
      <c r="H53" s="36" t="s">
        <v>105</v>
      </c>
      <c r="I53" s="36" t="s">
        <v>106</v>
      </c>
      <c r="J53" s="36">
        <v>792</v>
      </c>
      <c r="K53" s="37">
        <f>'проверка 2017'!J12</f>
        <v>529</v>
      </c>
      <c r="L53" s="37">
        <f>'проверка 2018 '!J12</f>
        <v>554</v>
      </c>
      <c r="M53" s="37">
        <f>'проверка 2019'!J12</f>
        <v>579</v>
      </c>
      <c r="N53" s="57">
        <f>'проверка 2017'!J19</f>
        <v>49501.03</v>
      </c>
      <c r="O53" s="333">
        <f>'проверка 2018 '!J19</f>
        <v>50702.880000000005</v>
      </c>
      <c r="P53" s="57">
        <f>'проверка 2019'!J19</f>
        <v>51213.5</v>
      </c>
    </row>
    <row r="55" spans="1:16">
      <c r="A55" s="1" t="s">
        <v>41</v>
      </c>
    </row>
    <row r="56" spans="1:16">
      <c r="A56" s="1" t="s">
        <v>37</v>
      </c>
      <c r="D56" s="15"/>
    </row>
    <row r="57" spans="1:16">
      <c r="D57" s="8"/>
    </row>
    <row r="58" spans="1:16">
      <c r="A58" s="18" t="s">
        <v>43</v>
      </c>
    </row>
    <row r="59" spans="1:16">
      <c r="A59" s="1" t="s">
        <v>44</v>
      </c>
    </row>
    <row r="60" spans="1:16">
      <c r="A60" s="1" t="s">
        <v>45</v>
      </c>
    </row>
    <row r="63" spans="1:16">
      <c r="A63" s="1" t="s">
        <v>47</v>
      </c>
    </row>
    <row r="65" spans="1:19">
      <c r="A65" s="362" t="s">
        <v>52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</row>
    <row r="66" spans="1:19">
      <c r="A66" s="215" t="s">
        <v>48</v>
      </c>
      <c r="B66" s="362" t="s">
        <v>49</v>
      </c>
      <c r="C66" s="362"/>
      <c r="D66" s="362"/>
      <c r="E66" s="215" t="s">
        <v>50</v>
      </c>
      <c r="F66" s="215" t="s">
        <v>51</v>
      </c>
      <c r="G66" s="362" t="s">
        <v>31</v>
      </c>
      <c r="H66" s="362"/>
      <c r="I66" s="362"/>
      <c r="J66" s="362"/>
      <c r="K66" s="362"/>
      <c r="L66" s="362"/>
      <c r="M66" s="362"/>
    </row>
    <row r="67" spans="1:19">
      <c r="A67" s="216">
        <v>1</v>
      </c>
      <c r="B67" s="363">
        <v>2</v>
      </c>
      <c r="C67" s="363"/>
      <c r="D67" s="363"/>
      <c r="E67" s="216">
        <v>3</v>
      </c>
      <c r="F67" s="216">
        <v>4</v>
      </c>
      <c r="G67" s="364">
        <v>5</v>
      </c>
      <c r="H67" s="364"/>
      <c r="I67" s="364"/>
      <c r="J67" s="364"/>
      <c r="K67" s="364"/>
      <c r="L67" s="364"/>
      <c r="M67" s="364"/>
    </row>
    <row r="68" spans="1:19" ht="47.25" customHeight="1">
      <c r="A68" s="329" t="s">
        <v>344</v>
      </c>
      <c r="B68" s="366" t="s">
        <v>345</v>
      </c>
      <c r="C68" s="367"/>
      <c r="D68" s="368"/>
      <c r="E68" s="334">
        <v>42727</v>
      </c>
      <c r="F68" s="335" t="s">
        <v>346</v>
      </c>
      <c r="G68" s="372" t="s">
        <v>347</v>
      </c>
      <c r="H68" s="373"/>
      <c r="I68" s="373"/>
      <c r="J68" s="373"/>
      <c r="K68" s="373"/>
      <c r="L68" s="373"/>
      <c r="M68" s="374"/>
      <c r="N68" s="213"/>
      <c r="O68" s="213"/>
      <c r="P68" s="213"/>
      <c r="Q68" s="2"/>
      <c r="R68" s="2"/>
      <c r="S68" s="2"/>
    </row>
    <row r="69" spans="1:19">
      <c r="A69" s="10"/>
      <c r="B69" s="369"/>
      <c r="C69" s="370"/>
      <c r="D69" s="371"/>
      <c r="E69" s="10"/>
      <c r="F69" s="10"/>
      <c r="G69" s="385"/>
      <c r="H69" s="386"/>
      <c r="I69" s="386"/>
      <c r="J69" s="386"/>
      <c r="K69" s="386"/>
      <c r="L69" s="386"/>
      <c r="M69" s="387"/>
    </row>
    <row r="72" spans="1:19">
      <c r="A72" s="1" t="s">
        <v>53</v>
      </c>
    </row>
    <row r="74" spans="1:19">
      <c r="A74" s="1" t="s">
        <v>54</v>
      </c>
    </row>
    <row r="75" spans="1:19" ht="39.75" customHeight="1">
      <c r="A75" s="365"/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</row>
    <row r="76" spans="1:19">
      <c r="A76" s="384" t="s">
        <v>55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</row>
    <row r="79" spans="1:19">
      <c r="A79" s="1" t="s">
        <v>56</v>
      </c>
    </row>
    <row r="81" spans="1:16">
      <c r="A81" s="362" t="s">
        <v>57</v>
      </c>
      <c r="B81" s="362"/>
      <c r="C81" s="362"/>
      <c r="D81" s="362" t="s">
        <v>58</v>
      </c>
      <c r="E81" s="362"/>
      <c r="F81" s="362"/>
      <c r="G81" s="362"/>
      <c r="H81" s="362" t="s">
        <v>59</v>
      </c>
      <c r="I81" s="362"/>
      <c r="J81" s="362"/>
      <c r="K81" s="362"/>
    </row>
    <row r="82" spans="1:16">
      <c r="A82" s="363">
        <v>1</v>
      </c>
      <c r="B82" s="363"/>
      <c r="C82" s="363"/>
      <c r="D82" s="363">
        <v>2</v>
      </c>
      <c r="E82" s="363"/>
      <c r="F82" s="363"/>
      <c r="G82" s="363"/>
      <c r="H82" s="363">
        <v>3</v>
      </c>
      <c r="I82" s="363"/>
      <c r="J82" s="363"/>
      <c r="K82" s="363"/>
    </row>
    <row r="83" spans="1:16">
      <c r="A83" s="394" t="s">
        <v>298</v>
      </c>
      <c r="B83" s="395"/>
      <c r="C83" s="396"/>
      <c r="D83" s="369"/>
      <c r="E83" s="370"/>
      <c r="F83" s="370"/>
      <c r="G83" s="371"/>
      <c r="H83" s="369"/>
      <c r="I83" s="370"/>
      <c r="J83" s="370"/>
      <c r="K83" s="371"/>
    </row>
    <row r="84" spans="1:16">
      <c r="A84" s="369"/>
      <c r="B84" s="370"/>
      <c r="C84" s="371"/>
      <c r="D84" s="369"/>
      <c r="E84" s="370"/>
      <c r="F84" s="370"/>
      <c r="G84" s="371"/>
      <c r="H84" s="369"/>
      <c r="I84" s="370"/>
      <c r="J84" s="370"/>
      <c r="K84" s="371"/>
    </row>
    <row r="86" spans="1:16">
      <c r="A86" s="376" t="s">
        <v>108</v>
      </c>
      <c r="B86" s="376"/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</row>
    <row r="88" spans="1:16">
      <c r="A88" s="1" t="s">
        <v>13</v>
      </c>
      <c r="E88" s="382" t="s">
        <v>110</v>
      </c>
      <c r="F88" s="382"/>
      <c r="G88" s="382"/>
      <c r="H88" s="382"/>
      <c r="I88" s="382"/>
      <c r="J88" s="382"/>
      <c r="K88" s="382"/>
      <c r="L88" s="382"/>
      <c r="M88" s="7"/>
      <c r="N88" s="7" t="s">
        <v>15</v>
      </c>
      <c r="O88" s="345" t="s">
        <v>109</v>
      </c>
      <c r="P88" s="345"/>
    </row>
    <row r="89" spans="1:16">
      <c r="A89" s="386"/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7"/>
      <c r="N89" s="7" t="s">
        <v>16</v>
      </c>
      <c r="O89" s="345"/>
      <c r="P89" s="345"/>
    </row>
    <row r="90" spans="1:16">
      <c r="A90" s="1" t="s">
        <v>14</v>
      </c>
      <c r="M90" s="7"/>
      <c r="N90" s="7" t="s">
        <v>17</v>
      </c>
      <c r="O90" s="345"/>
      <c r="P90" s="345"/>
    </row>
    <row r="91" spans="1:16">
      <c r="A91" s="382" t="s">
        <v>111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</row>
    <row r="92" spans="1:16">
      <c r="A92" s="370"/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</row>
    <row r="93" spans="1: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6">
      <c r="A94" s="1" t="s">
        <v>18</v>
      </c>
    </row>
    <row r="96" spans="1:16">
      <c r="A96" s="1" t="s">
        <v>22</v>
      </c>
    </row>
    <row r="98" spans="1:16" ht="68.25" customHeight="1">
      <c r="A98" s="342" t="s">
        <v>23</v>
      </c>
      <c r="B98" s="342"/>
      <c r="C98" s="346" t="s">
        <v>24</v>
      </c>
      <c r="D98" s="347"/>
      <c r="E98" s="348"/>
      <c r="F98" s="342" t="s">
        <v>26</v>
      </c>
      <c r="G98" s="342"/>
      <c r="H98" s="342" t="s">
        <v>27</v>
      </c>
      <c r="I98" s="342"/>
      <c r="J98" s="342"/>
      <c r="K98" s="342"/>
      <c r="L98" s="342"/>
      <c r="M98" s="342" t="s">
        <v>28</v>
      </c>
      <c r="N98" s="342"/>
      <c r="O98" s="342"/>
      <c r="P98" s="342"/>
    </row>
    <row r="99" spans="1:16" ht="24.75" customHeight="1">
      <c r="A99" s="342"/>
      <c r="B99" s="342"/>
      <c r="C99" s="342" t="s">
        <v>25</v>
      </c>
      <c r="D99" s="342" t="s">
        <v>25</v>
      </c>
      <c r="E99" s="342" t="s">
        <v>25</v>
      </c>
      <c r="F99" s="342" t="s">
        <v>25</v>
      </c>
      <c r="G99" s="342" t="s">
        <v>25</v>
      </c>
      <c r="H99" s="342" t="s">
        <v>32</v>
      </c>
      <c r="I99" s="342"/>
      <c r="J99" s="342" t="s">
        <v>29</v>
      </c>
      <c r="K99" s="342"/>
      <c r="L99" s="342"/>
      <c r="M99" s="351" t="s">
        <v>331</v>
      </c>
      <c r="N99" s="351" t="s">
        <v>332</v>
      </c>
      <c r="O99" s="353" t="s">
        <v>333</v>
      </c>
      <c r="P99" s="354"/>
    </row>
    <row r="100" spans="1:16" ht="26.25" customHeight="1">
      <c r="A100" s="342"/>
      <c r="B100" s="342"/>
      <c r="C100" s="342"/>
      <c r="D100" s="342"/>
      <c r="E100" s="342"/>
      <c r="F100" s="342"/>
      <c r="G100" s="342"/>
      <c r="H100" s="342"/>
      <c r="I100" s="342"/>
      <c r="J100" s="349" t="s">
        <v>31</v>
      </c>
      <c r="K100" s="350"/>
      <c r="L100" s="33" t="s">
        <v>30</v>
      </c>
      <c r="M100" s="352"/>
      <c r="N100" s="352"/>
      <c r="O100" s="355"/>
      <c r="P100" s="356"/>
    </row>
    <row r="101" spans="1:16">
      <c r="A101" s="418">
        <v>1</v>
      </c>
      <c r="B101" s="418"/>
      <c r="C101" s="33">
        <v>2</v>
      </c>
      <c r="D101" s="33">
        <v>3</v>
      </c>
      <c r="E101" s="33">
        <v>4</v>
      </c>
      <c r="F101" s="33">
        <v>5</v>
      </c>
      <c r="G101" s="33">
        <v>6</v>
      </c>
      <c r="H101" s="418">
        <v>7</v>
      </c>
      <c r="I101" s="418"/>
      <c r="J101" s="349">
        <v>8</v>
      </c>
      <c r="K101" s="350"/>
      <c r="L101" s="33">
        <v>9</v>
      </c>
      <c r="M101" s="33">
        <v>10</v>
      </c>
      <c r="N101" s="33">
        <v>11</v>
      </c>
      <c r="O101" s="418">
        <v>12</v>
      </c>
      <c r="P101" s="418"/>
    </row>
    <row r="102" spans="1:16" ht="68.25" customHeight="1">
      <c r="A102" s="359" t="s">
        <v>322</v>
      </c>
      <c r="B102" s="358"/>
      <c r="C102" s="32" t="s">
        <v>127</v>
      </c>
      <c r="D102" s="32" t="s">
        <v>98</v>
      </c>
      <c r="E102" s="32"/>
      <c r="F102" s="32" t="s">
        <v>97</v>
      </c>
      <c r="G102" s="32"/>
      <c r="H102" s="360" t="s">
        <v>129</v>
      </c>
      <c r="I102" s="361"/>
      <c r="J102" s="357" t="s">
        <v>131</v>
      </c>
      <c r="K102" s="358"/>
      <c r="L102" s="58">
        <v>744</v>
      </c>
      <c r="M102" s="32"/>
      <c r="N102" s="32"/>
      <c r="O102" s="357"/>
      <c r="P102" s="358"/>
    </row>
    <row r="103" spans="1:16" ht="69" customHeight="1">
      <c r="A103" s="359" t="s">
        <v>323</v>
      </c>
      <c r="B103" s="358"/>
      <c r="C103" s="32" t="s">
        <v>127</v>
      </c>
      <c r="D103" s="32" t="s">
        <v>100</v>
      </c>
      <c r="E103" s="32"/>
      <c r="F103" s="32" t="s">
        <v>97</v>
      </c>
      <c r="G103" s="32"/>
      <c r="H103" s="360" t="s">
        <v>130</v>
      </c>
      <c r="I103" s="361"/>
      <c r="J103" s="357" t="s">
        <v>131</v>
      </c>
      <c r="K103" s="358"/>
      <c r="L103" s="58">
        <v>744</v>
      </c>
      <c r="M103" s="32"/>
      <c r="N103" s="32"/>
      <c r="O103" s="357"/>
      <c r="P103" s="358"/>
    </row>
    <row r="104" spans="1:16" ht="42.75" customHeight="1">
      <c r="A104" s="359" t="s">
        <v>324</v>
      </c>
      <c r="B104" s="358"/>
      <c r="C104" s="32" t="s">
        <v>128</v>
      </c>
      <c r="D104" s="32" t="s">
        <v>98</v>
      </c>
      <c r="E104" s="32"/>
      <c r="F104" s="32" t="s">
        <v>97</v>
      </c>
      <c r="G104" s="32"/>
      <c r="H104" s="360" t="s">
        <v>129</v>
      </c>
      <c r="I104" s="361"/>
      <c r="J104" s="357" t="s">
        <v>131</v>
      </c>
      <c r="K104" s="358"/>
      <c r="L104" s="58">
        <v>744</v>
      </c>
      <c r="M104" s="32"/>
      <c r="N104" s="32"/>
      <c r="O104" s="357"/>
      <c r="P104" s="358"/>
    </row>
    <row r="105" spans="1:16" ht="42.75" customHeight="1">
      <c r="A105" s="359" t="s">
        <v>325</v>
      </c>
      <c r="B105" s="358"/>
      <c r="C105" s="32" t="s">
        <v>128</v>
      </c>
      <c r="D105" s="32" t="s">
        <v>100</v>
      </c>
      <c r="E105" s="32"/>
      <c r="F105" s="32" t="s">
        <v>97</v>
      </c>
      <c r="G105" s="32"/>
      <c r="H105" s="360" t="s">
        <v>130</v>
      </c>
      <c r="I105" s="361"/>
      <c r="J105" s="357" t="s">
        <v>131</v>
      </c>
      <c r="K105" s="358"/>
      <c r="L105" s="58">
        <v>744</v>
      </c>
      <c r="M105" s="32"/>
      <c r="N105" s="32"/>
      <c r="O105" s="357"/>
      <c r="P105" s="358"/>
    </row>
    <row r="107" spans="1:16">
      <c r="A107" s="1" t="s">
        <v>36</v>
      </c>
    </row>
    <row r="108" spans="1:16">
      <c r="A108" s="1" t="s">
        <v>37</v>
      </c>
      <c r="D108" s="15"/>
    </row>
    <row r="109" spans="1:16">
      <c r="D109" s="8"/>
    </row>
    <row r="111" spans="1:16">
      <c r="A111" s="1" t="s">
        <v>46</v>
      </c>
    </row>
    <row r="113" spans="1:16" ht="39.75" customHeight="1">
      <c r="A113" s="342" t="s">
        <v>23</v>
      </c>
      <c r="B113" s="342"/>
      <c r="C113" s="346" t="s">
        <v>24</v>
      </c>
      <c r="D113" s="347"/>
      <c r="E113" s="348"/>
      <c r="F113" s="342" t="s">
        <v>26</v>
      </c>
      <c r="G113" s="342"/>
      <c r="H113" s="343" t="s">
        <v>38</v>
      </c>
      <c r="I113" s="343"/>
      <c r="J113" s="343"/>
      <c r="K113" s="343" t="s">
        <v>39</v>
      </c>
      <c r="L113" s="343"/>
      <c r="M113" s="343"/>
      <c r="N113" s="367" t="s">
        <v>40</v>
      </c>
      <c r="O113" s="367"/>
      <c r="P113" s="368"/>
    </row>
    <row r="114" spans="1:16" ht="42" customHeight="1">
      <c r="A114" s="342"/>
      <c r="B114" s="342"/>
      <c r="C114" s="342" t="s">
        <v>25</v>
      </c>
      <c r="D114" s="342" t="s">
        <v>25</v>
      </c>
      <c r="E114" s="342" t="s">
        <v>25</v>
      </c>
      <c r="F114" s="342" t="s">
        <v>25</v>
      </c>
      <c r="G114" s="342" t="s">
        <v>25</v>
      </c>
      <c r="H114" s="343" t="s">
        <v>32</v>
      </c>
      <c r="I114" s="343" t="s">
        <v>29</v>
      </c>
      <c r="J114" s="343"/>
      <c r="K114" s="338" t="s">
        <v>331</v>
      </c>
      <c r="L114" s="338" t="s">
        <v>332</v>
      </c>
      <c r="M114" s="340" t="s">
        <v>333</v>
      </c>
      <c r="N114" s="338" t="s">
        <v>331</v>
      </c>
      <c r="O114" s="338" t="s">
        <v>332</v>
      </c>
      <c r="P114" s="340" t="s">
        <v>334</v>
      </c>
    </row>
    <row r="115" spans="1:16" ht="27.75" customHeight="1">
      <c r="A115" s="342"/>
      <c r="B115" s="342"/>
      <c r="C115" s="342"/>
      <c r="D115" s="342"/>
      <c r="E115" s="342"/>
      <c r="F115" s="342"/>
      <c r="G115" s="342"/>
      <c r="H115" s="343"/>
      <c r="I115" s="34" t="s">
        <v>42</v>
      </c>
      <c r="J115" s="35" t="s">
        <v>30</v>
      </c>
      <c r="K115" s="339"/>
      <c r="L115" s="339"/>
      <c r="M115" s="341"/>
      <c r="N115" s="339"/>
      <c r="O115" s="339"/>
      <c r="P115" s="341"/>
    </row>
    <row r="116" spans="1:16">
      <c r="A116" s="418">
        <v>1</v>
      </c>
      <c r="B116" s="418"/>
      <c r="C116" s="33">
        <v>2</v>
      </c>
      <c r="D116" s="33">
        <v>3</v>
      </c>
      <c r="E116" s="33">
        <v>4</v>
      </c>
      <c r="F116" s="33">
        <v>5</v>
      </c>
      <c r="G116" s="33">
        <v>6</v>
      </c>
      <c r="H116" s="35">
        <v>7</v>
      </c>
      <c r="I116" s="35">
        <v>8</v>
      </c>
      <c r="J116" s="35">
        <v>9</v>
      </c>
      <c r="K116" s="35">
        <v>10</v>
      </c>
      <c r="L116" s="35">
        <v>11</v>
      </c>
      <c r="M116" s="35">
        <v>12</v>
      </c>
      <c r="N116" s="35">
        <v>13</v>
      </c>
      <c r="O116" s="35">
        <v>14</v>
      </c>
      <c r="P116" s="35">
        <v>15</v>
      </c>
    </row>
    <row r="117" spans="1:16" ht="68.25">
      <c r="A117" s="359" t="s">
        <v>322</v>
      </c>
      <c r="B117" s="358"/>
      <c r="C117" s="32" t="s">
        <v>127</v>
      </c>
      <c r="D117" s="32" t="s">
        <v>98</v>
      </c>
      <c r="E117" s="32"/>
      <c r="F117" s="32" t="s">
        <v>97</v>
      </c>
      <c r="G117" s="32"/>
      <c r="H117" s="36" t="s">
        <v>132</v>
      </c>
      <c r="I117" s="36" t="s">
        <v>106</v>
      </c>
      <c r="J117" s="36">
        <v>792</v>
      </c>
      <c r="K117" s="37">
        <f>'проверка 2017'!H24</f>
        <v>115</v>
      </c>
      <c r="L117" s="37">
        <f>'проверка 2018 '!H24</f>
        <v>115</v>
      </c>
      <c r="M117" s="37">
        <f>'проверка 2019'!H24</f>
        <v>115</v>
      </c>
      <c r="N117" s="57">
        <f>'проверка 2017'!H34</f>
        <v>9479.6099999999988</v>
      </c>
      <c r="O117" s="57">
        <f>'проверка 2018 '!H34</f>
        <v>9112.3599999999988</v>
      </c>
      <c r="P117" s="57">
        <f>'проверка 2019'!H34</f>
        <v>8754.02</v>
      </c>
    </row>
    <row r="118" spans="1:16" ht="68.25">
      <c r="A118" s="359" t="s">
        <v>323</v>
      </c>
      <c r="B118" s="358"/>
      <c r="C118" s="32" t="s">
        <v>127</v>
      </c>
      <c r="D118" s="32" t="s">
        <v>100</v>
      </c>
      <c r="E118" s="32"/>
      <c r="F118" s="32" t="s">
        <v>97</v>
      </c>
      <c r="G118" s="32"/>
      <c r="H118" s="36" t="s">
        <v>132</v>
      </c>
      <c r="I118" s="36" t="s">
        <v>106</v>
      </c>
      <c r="J118" s="36">
        <v>792</v>
      </c>
      <c r="K118" s="37">
        <f>'проверка 2017'!I24</f>
        <v>528</v>
      </c>
      <c r="L118" s="37">
        <f>'проверка 2018 '!I24</f>
        <v>553</v>
      </c>
      <c r="M118" s="37">
        <f>'проверка 2019'!I24</f>
        <v>578</v>
      </c>
      <c r="N118" s="57">
        <f>'проверка 2017'!I34</f>
        <v>9479.6099999999988</v>
      </c>
      <c r="O118" s="57">
        <f>'проверка 2018 '!I34</f>
        <v>9112.3599999999988</v>
      </c>
      <c r="P118" s="57">
        <f>'проверка 2019'!I34</f>
        <v>8754.02</v>
      </c>
    </row>
    <row r="119" spans="1:16" ht="23.25" customHeight="1">
      <c r="A119" s="359" t="s">
        <v>324</v>
      </c>
      <c r="B119" s="358"/>
      <c r="C119" s="32" t="s">
        <v>128</v>
      </c>
      <c r="D119" s="32" t="s">
        <v>98</v>
      </c>
      <c r="E119" s="32"/>
      <c r="F119" s="32" t="s">
        <v>97</v>
      </c>
      <c r="G119" s="32"/>
      <c r="H119" s="36" t="s">
        <v>132</v>
      </c>
      <c r="I119" s="36" t="s">
        <v>106</v>
      </c>
      <c r="J119" s="36">
        <v>792</v>
      </c>
      <c r="K119" s="37">
        <f>'проверка 2017'!J24</f>
        <v>1</v>
      </c>
      <c r="L119" s="37">
        <f>'проверка 2018 '!J24</f>
        <v>1</v>
      </c>
      <c r="M119" s="37">
        <f>'проверка 2019'!J24</f>
        <v>1</v>
      </c>
      <c r="N119" s="57">
        <f>'проверка 2017'!J34</f>
        <v>9479.6099999999988</v>
      </c>
      <c r="O119" s="57">
        <f>'проверка 2018 '!J34</f>
        <v>9112.3599999999988</v>
      </c>
      <c r="P119" s="57">
        <f>'проверка 2019'!J34</f>
        <v>8754.02</v>
      </c>
    </row>
    <row r="120" spans="1:16" ht="23.25" customHeight="1">
      <c r="A120" s="359" t="s">
        <v>325</v>
      </c>
      <c r="B120" s="358"/>
      <c r="C120" s="32" t="s">
        <v>128</v>
      </c>
      <c r="D120" s="32" t="s">
        <v>100</v>
      </c>
      <c r="E120" s="32"/>
      <c r="F120" s="32" t="s">
        <v>97</v>
      </c>
      <c r="G120" s="32"/>
      <c r="H120" s="36" t="s">
        <v>132</v>
      </c>
      <c r="I120" s="36" t="s">
        <v>106</v>
      </c>
      <c r="J120" s="36">
        <v>792</v>
      </c>
      <c r="K120" s="37">
        <f>'проверка 2017'!K24</f>
        <v>1</v>
      </c>
      <c r="L120" s="37">
        <f>'проверка 2018 '!K24</f>
        <v>1</v>
      </c>
      <c r="M120" s="37">
        <f>'проверка 2019'!K24</f>
        <v>1</v>
      </c>
      <c r="N120" s="57">
        <f>'проверка 2017'!K34</f>
        <v>9479.6099999999988</v>
      </c>
      <c r="O120" s="57">
        <f>'проверка 2018 '!K34</f>
        <v>9112.3599999999988</v>
      </c>
      <c r="P120" s="57">
        <f>'проверка 2019'!K34</f>
        <v>8754.02</v>
      </c>
    </row>
    <row r="122" spans="1:16">
      <c r="A122" s="1" t="s">
        <v>41</v>
      </c>
    </row>
    <row r="123" spans="1:16">
      <c r="A123" s="1" t="s">
        <v>37</v>
      </c>
      <c r="D123" s="15"/>
    </row>
    <row r="124" spans="1:16">
      <c r="D124" s="8"/>
    </row>
    <row r="125" spans="1:16">
      <c r="A125" s="18" t="s">
        <v>43</v>
      </c>
    </row>
    <row r="126" spans="1:16">
      <c r="A126" s="1" t="s">
        <v>44</v>
      </c>
    </row>
    <row r="127" spans="1:16">
      <c r="A127" s="1" t="s">
        <v>45</v>
      </c>
    </row>
    <row r="130" spans="1:19">
      <c r="A130" s="1" t="s">
        <v>47</v>
      </c>
    </row>
    <row r="132" spans="1:19">
      <c r="A132" s="362" t="s">
        <v>52</v>
      </c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</row>
    <row r="133" spans="1:19">
      <c r="A133" s="4" t="s">
        <v>48</v>
      </c>
      <c r="B133" s="362" t="s">
        <v>49</v>
      </c>
      <c r="C133" s="362"/>
      <c r="D133" s="362"/>
      <c r="E133" s="4" t="s">
        <v>50</v>
      </c>
      <c r="F133" s="4" t="s">
        <v>51</v>
      </c>
      <c r="G133" s="362" t="s">
        <v>31</v>
      </c>
      <c r="H133" s="362"/>
      <c r="I133" s="362"/>
      <c r="J133" s="362"/>
      <c r="K133" s="362"/>
      <c r="L133" s="362"/>
      <c r="M133" s="362"/>
    </row>
    <row r="134" spans="1:19">
      <c r="A134" s="9">
        <v>1</v>
      </c>
      <c r="B134" s="363">
        <v>2</v>
      </c>
      <c r="C134" s="363"/>
      <c r="D134" s="363"/>
      <c r="E134" s="9">
        <v>3</v>
      </c>
      <c r="F134" s="9">
        <v>4</v>
      </c>
      <c r="G134" s="364">
        <v>5</v>
      </c>
      <c r="H134" s="364"/>
      <c r="I134" s="364"/>
      <c r="J134" s="364"/>
      <c r="K134" s="364"/>
      <c r="L134" s="364"/>
      <c r="M134" s="364"/>
    </row>
    <row r="135" spans="1:19" ht="38.25" customHeight="1">
      <c r="A135" s="35" t="s">
        <v>296</v>
      </c>
      <c r="B135" s="366" t="s">
        <v>297</v>
      </c>
      <c r="C135" s="367"/>
      <c r="D135" s="368"/>
      <c r="E135" s="334">
        <v>42705</v>
      </c>
      <c r="F135" s="335">
        <v>222</v>
      </c>
      <c r="G135" s="372" t="s">
        <v>343</v>
      </c>
      <c r="H135" s="373"/>
      <c r="I135" s="373"/>
      <c r="J135" s="373"/>
      <c r="K135" s="373"/>
      <c r="L135" s="373"/>
      <c r="M135" s="374"/>
      <c r="N135" s="213"/>
      <c r="O135" s="213"/>
      <c r="P135" s="213"/>
      <c r="Q135" s="2"/>
      <c r="R135" s="2"/>
      <c r="S135" s="2"/>
    </row>
    <row r="136" spans="1:19">
      <c r="A136" s="10"/>
      <c r="B136" s="369"/>
      <c r="C136" s="370"/>
      <c r="D136" s="371"/>
      <c r="E136" s="10"/>
      <c r="F136" s="10"/>
      <c r="G136" s="385"/>
      <c r="H136" s="386"/>
      <c r="I136" s="386"/>
      <c r="J136" s="386"/>
      <c r="K136" s="386"/>
      <c r="L136" s="386"/>
      <c r="M136" s="387"/>
    </row>
    <row r="139" spans="1:19">
      <c r="A139" s="1" t="s">
        <v>53</v>
      </c>
    </row>
    <row r="141" spans="1:19">
      <c r="A141" s="1" t="s">
        <v>54</v>
      </c>
    </row>
    <row r="142" spans="1:19" ht="39.75" customHeight="1">
      <c r="A142" s="365"/>
      <c r="B142" s="365"/>
      <c r="C142" s="365"/>
      <c r="D142" s="365"/>
      <c r="E142" s="365"/>
      <c r="F142" s="365"/>
      <c r="G142" s="365"/>
      <c r="H142" s="365"/>
      <c r="I142" s="365"/>
      <c r="J142" s="365"/>
      <c r="K142" s="365"/>
      <c r="L142" s="365"/>
    </row>
    <row r="143" spans="1:19">
      <c r="A143" s="384" t="s">
        <v>55</v>
      </c>
      <c r="B143" s="384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</row>
    <row r="146" spans="1:16">
      <c r="A146" s="1" t="s">
        <v>56</v>
      </c>
    </row>
    <row r="148" spans="1:16">
      <c r="A148" s="362" t="s">
        <v>57</v>
      </c>
      <c r="B148" s="362"/>
      <c r="C148" s="362"/>
      <c r="D148" s="362" t="s">
        <v>58</v>
      </c>
      <c r="E148" s="362"/>
      <c r="F148" s="362"/>
      <c r="G148" s="362"/>
      <c r="H148" s="362" t="s">
        <v>59</v>
      </c>
      <c r="I148" s="362"/>
      <c r="J148" s="362"/>
      <c r="K148" s="362"/>
    </row>
    <row r="149" spans="1:16">
      <c r="A149" s="363">
        <v>1</v>
      </c>
      <c r="B149" s="363"/>
      <c r="C149" s="363"/>
      <c r="D149" s="363">
        <v>2</v>
      </c>
      <c r="E149" s="363"/>
      <c r="F149" s="363"/>
      <c r="G149" s="363"/>
      <c r="H149" s="363">
        <v>3</v>
      </c>
      <c r="I149" s="363"/>
      <c r="J149" s="363"/>
      <c r="K149" s="363"/>
    </row>
    <row r="150" spans="1:16">
      <c r="A150" s="394" t="s">
        <v>298</v>
      </c>
      <c r="B150" s="395"/>
      <c r="C150" s="396"/>
      <c r="D150" s="369"/>
      <c r="E150" s="370"/>
      <c r="F150" s="370"/>
      <c r="G150" s="371"/>
      <c r="H150" s="369"/>
      <c r="I150" s="370"/>
      <c r="J150" s="370"/>
      <c r="K150" s="371"/>
    </row>
    <row r="151" spans="1:16">
      <c r="A151" s="369"/>
      <c r="B151" s="370"/>
      <c r="C151" s="371"/>
      <c r="D151" s="369"/>
      <c r="E151" s="370"/>
      <c r="F151" s="370"/>
      <c r="G151" s="371"/>
      <c r="H151" s="369"/>
      <c r="I151" s="370"/>
      <c r="J151" s="370"/>
      <c r="K151" s="371"/>
    </row>
    <row r="154" spans="1:16" hidden="1">
      <c r="A154" s="376" t="s">
        <v>60</v>
      </c>
      <c r="B154" s="376"/>
      <c r="C154" s="376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</row>
    <row r="155" spans="1:16" hidden="1">
      <c r="A155" s="376" t="s">
        <v>12</v>
      </c>
      <c r="B155" s="376"/>
      <c r="C155" s="376"/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</row>
    <row r="156" spans="1:16" hidden="1"/>
    <row r="157" spans="1:16" s="20" customFormat="1" hidden="1">
      <c r="A157" s="20" t="s">
        <v>61</v>
      </c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21"/>
      <c r="N157" s="21" t="s">
        <v>15</v>
      </c>
      <c r="O157" s="388"/>
      <c r="P157" s="388"/>
    </row>
    <row r="158" spans="1:16" s="20" customFormat="1" hidden="1">
      <c r="A158" s="389"/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21"/>
      <c r="N158" s="21" t="s">
        <v>16</v>
      </c>
      <c r="O158" s="388"/>
      <c r="P158" s="388"/>
    </row>
    <row r="159" spans="1:16" s="20" customFormat="1" hidden="1">
      <c r="A159" s="20" t="s">
        <v>62</v>
      </c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21" t="s">
        <v>17</v>
      </c>
      <c r="O159" s="388"/>
      <c r="P159" s="388"/>
    </row>
    <row r="160" spans="1:16" s="20" customFormat="1" hidden="1">
      <c r="A160" s="389"/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22"/>
    </row>
    <row r="161" spans="1:16" s="20" customFormat="1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6" s="20" customFormat="1" hidden="1">
      <c r="A162" s="20" t="s">
        <v>63</v>
      </c>
    </row>
    <row r="163" spans="1:16" s="20" customFormat="1" hidden="1"/>
    <row r="164" spans="1:16" s="20" customFormat="1" hidden="1">
      <c r="A164" s="20" t="s">
        <v>64</v>
      </c>
    </row>
    <row r="165" spans="1:16" s="19" customFormat="1" hidden="1"/>
    <row r="166" spans="1:16" s="19" customFormat="1" ht="67.5" hidden="1" customHeight="1">
      <c r="A166" s="390" t="s">
        <v>23</v>
      </c>
      <c r="B166" s="390"/>
      <c r="C166" s="391" t="s">
        <v>65</v>
      </c>
      <c r="D166" s="392"/>
      <c r="E166" s="393"/>
      <c r="F166" s="390" t="s">
        <v>66</v>
      </c>
      <c r="G166" s="390"/>
      <c r="H166" s="390" t="s">
        <v>67</v>
      </c>
      <c r="I166" s="390"/>
      <c r="J166" s="390"/>
      <c r="K166" s="390"/>
      <c r="L166" s="390"/>
      <c r="M166" s="390" t="s">
        <v>68</v>
      </c>
      <c r="N166" s="390"/>
      <c r="O166" s="390"/>
      <c r="P166" s="390"/>
    </row>
    <row r="167" spans="1:16" s="19" customFormat="1" ht="24.75" hidden="1" customHeight="1">
      <c r="A167" s="390"/>
      <c r="B167" s="390"/>
      <c r="C167" s="390" t="s">
        <v>25</v>
      </c>
      <c r="D167" s="390" t="s">
        <v>25</v>
      </c>
      <c r="E167" s="390" t="s">
        <v>25</v>
      </c>
      <c r="F167" s="390" t="s">
        <v>25</v>
      </c>
      <c r="G167" s="390" t="s">
        <v>25</v>
      </c>
      <c r="H167" s="390" t="s">
        <v>32</v>
      </c>
      <c r="I167" s="390"/>
      <c r="J167" s="390" t="s">
        <v>29</v>
      </c>
      <c r="K167" s="390"/>
      <c r="L167" s="390"/>
      <c r="M167" s="397" t="s">
        <v>33</v>
      </c>
      <c r="N167" s="397" t="s">
        <v>34</v>
      </c>
      <c r="O167" s="399" t="s">
        <v>35</v>
      </c>
      <c r="P167" s="400"/>
    </row>
    <row r="168" spans="1:16" s="19" customFormat="1" ht="26.25" hidden="1" customHeight="1">
      <c r="A168" s="390"/>
      <c r="B168" s="390"/>
      <c r="C168" s="390"/>
      <c r="D168" s="390"/>
      <c r="E168" s="390"/>
      <c r="F168" s="390"/>
      <c r="G168" s="390"/>
      <c r="H168" s="390"/>
      <c r="I168" s="390"/>
      <c r="J168" s="403" t="s">
        <v>31</v>
      </c>
      <c r="K168" s="404"/>
      <c r="L168" s="16" t="s">
        <v>30</v>
      </c>
      <c r="M168" s="398"/>
      <c r="N168" s="398"/>
      <c r="O168" s="401"/>
      <c r="P168" s="402"/>
    </row>
    <row r="169" spans="1:16" s="19" customFormat="1" hidden="1">
      <c r="A169" s="405">
        <v>1</v>
      </c>
      <c r="B169" s="405"/>
      <c r="C169" s="12">
        <v>2</v>
      </c>
      <c r="D169" s="12">
        <v>3</v>
      </c>
      <c r="E169" s="12">
        <v>4</v>
      </c>
      <c r="F169" s="12">
        <v>5</v>
      </c>
      <c r="G169" s="12">
        <v>6</v>
      </c>
      <c r="H169" s="405">
        <v>7</v>
      </c>
      <c r="I169" s="405"/>
      <c r="J169" s="406">
        <v>8</v>
      </c>
      <c r="K169" s="407"/>
      <c r="L169" s="12">
        <v>9</v>
      </c>
      <c r="M169" s="12">
        <v>10</v>
      </c>
      <c r="N169" s="12">
        <v>11</v>
      </c>
      <c r="O169" s="408">
        <v>12</v>
      </c>
      <c r="P169" s="408"/>
    </row>
    <row r="170" spans="1:16" s="19" customFormat="1" hidden="1">
      <c r="A170" s="409"/>
      <c r="B170" s="410"/>
      <c r="C170" s="13"/>
      <c r="D170" s="13"/>
      <c r="E170" s="13"/>
      <c r="F170" s="13"/>
      <c r="G170" s="13"/>
      <c r="H170" s="409"/>
      <c r="I170" s="410"/>
      <c r="J170" s="409"/>
      <c r="K170" s="410"/>
      <c r="L170" s="13"/>
      <c r="M170" s="13"/>
      <c r="N170" s="13"/>
      <c r="O170" s="409"/>
      <c r="P170" s="410"/>
    </row>
    <row r="171" spans="1:16" s="19" customFormat="1" hidden="1">
      <c r="A171" s="409"/>
      <c r="B171" s="410"/>
      <c r="C171" s="13"/>
      <c r="D171" s="13"/>
      <c r="E171" s="13"/>
      <c r="F171" s="13"/>
      <c r="G171" s="13"/>
      <c r="H171" s="409"/>
      <c r="I171" s="410"/>
      <c r="J171" s="409"/>
      <c r="K171" s="410"/>
      <c r="L171" s="13"/>
      <c r="M171" s="13"/>
      <c r="N171" s="13"/>
      <c r="O171" s="409"/>
      <c r="P171" s="410"/>
    </row>
    <row r="172" spans="1:16" s="19" customFormat="1" hidden="1">
      <c r="A172" s="409"/>
      <c r="B172" s="410"/>
      <c r="C172" s="13"/>
      <c r="D172" s="13"/>
      <c r="E172" s="13"/>
      <c r="F172" s="13"/>
      <c r="G172" s="13"/>
      <c r="H172" s="409"/>
      <c r="I172" s="410"/>
      <c r="J172" s="409"/>
      <c r="K172" s="410"/>
      <c r="L172" s="13"/>
      <c r="M172" s="13"/>
      <c r="N172" s="13"/>
      <c r="O172" s="409"/>
      <c r="P172" s="410"/>
    </row>
    <row r="173" spans="1:16" s="19" customFormat="1" hidden="1">
      <c r="A173" s="409"/>
      <c r="B173" s="410"/>
      <c r="C173" s="13"/>
      <c r="D173" s="13"/>
      <c r="E173" s="13"/>
      <c r="F173" s="13"/>
      <c r="G173" s="13"/>
      <c r="H173" s="409"/>
      <c r="I173" s="410"/>
      <c r="J173" s="409"/>
      <c r="K173" s="410"/>
      <c r="L173" s="13"/>
      <c r="M173" s="13"/>
      <c r="N173" s="13"/>
      <c r="O173" s="409"/>
      <c r="P173" s="410"/>
    </row>
    <row r="174" spans="1:16" s="19" customFormat="1" hidden="1">
      <c r="A174" s="409"/>
      <c r="B174" s="410"/>
      <c r="C174" s="13"/>
      <c r="D174" s="13"/>
      <c r="E174" s="13"/>
      <c r="F174" s="13"/>
      <c r="G174" s="13"/>
      <c r="H174" s="409"/>
      <c r="I174" s="410"/>
      <c r="J174" s="409"/>
      <c r="K174" s="410"/>
      <c r="L174" s="13"/>
      <c r="M174" s="13"/>
      <c r="N174" s="13"/>
      <c r="O174" s="409"/>
      <c r="P174" s="410"/>
    </row>
    <row r="175" spans="1:16" s="19" customFormat="1" hidden="1">
      <c r="A175" s="409"/>
      <c r="B175" s="410"/>
      <c r="C175" s="13"/>
      <c r="D175" s="13"/>
      <c r="E175" s="13"/>
      <c r="F175" s="13"/>
      <c r="G175" s="13"/>
      <c r="H175" s="409"/>
      <c r="I175" s="410"/>
      <c r="J175" s="409"/>
      <c r="K175" s="410"/>
      <c r="L175" s="13"/>
      <c r="M175" s="13"/>
      <c r="N175" s="13"/>
      <c r="O175" s="409"/>
      <c r="P175" s="410"/>
    </row>
    <row r="176" spans="1:16" s="19" customFormat="1" hidden="1">
      <c r="A176" s="409"/>
      <c r="B176" s="410"/>
      <c r="C176" s="13"/>
      <c r="D176" s="13"/>
      <c r="E176" s="13"/>
      <c r="F176" s="13"/>
      <c r="G176" s="13"/>
      <c r="H176" s="409"/>
      <c r="I176" s="410"/>
      <c r="J176" s="409"/>
      <c r="K176" s="410"/>
      <c r="L176" s="13"/>
      <c r="M176" s="13"/>
      <c r="N176" s="13"/>
      <c r="O176" s="409"/>
      <c r="P176" s="410"/>
    </row>
    <row r="177" spans="1:16" s="19" customFormat="1" hidden="1">
      <c r="A177" s="409"/>
      <c r="B177" s="410"/>
      <c r="C177" s="13"/>
      <c r="D177" s="13"/>
      <c r="E177" s="13"/>
      <c r="F177" s="13"/>
      <c r="G177" s="13"/>
      <c r="H177" s="409"/>
      <c r="I177" s="410"/>
      <c r="J177" s="409"/>
      <c r="K177" s="410"/>
      <c r="L177" s="13"/>
      <c r="M177" s="13"/>
      <c r="N177" s="13"/>
      <c r="O177" s="409"/>
      <c r="P177" s="410"/>
    </row>
    <row r="178" spans="1:16" s="19" customFormat="1" hidden="1"/>
    <row r="179" spans="1:16" s="20" customFormat="1" hidden="1">
      <c r="A179" s="20" t="s">
        <v>69</v>
      </c>
    </row>
    <row r="180" spans="1:16" s="20" customFormat="1" hidden="1">
      <c r="A180" s="20" t="s">
        <v>37</v>
      </c>
      <c r="D180" s="388"/>
    </row>
    <row r="181" spans="1:16" s="20" customFormat="1" hidden="1">
      <c r="D181" s="388"/>
    </row>
    <row r="182" spans="1:16" s="20" customFormat="1" hidden="1"/>
    <row r="183" spans="1:16" s="20" customFormat="1" hidden="1">
      <c r="A183" s="20" t="s">
        <v>70</v>
      </c>
    </row>
    <row r="184" spans="1:16" s="20" customFormat="1" hidden="1"/>
    <row r="185" spans="1:16" s="20" customFormat="1" ht="39.75" hidden="1" customHeight="1">
      <c r="A185" s="390" t="s">
        <v>23</v>
      </c>
      <c r="B185" s="390" t="s">
        <v>65</v>
      </c>
      <c r="C185" s="390"/>
      <c r="D185" s="390"/>
      <c r="E185" s="391" t="s">
        <v>73</v>
      </c>
      <c r="F185" s="392"/>
      <c r="G185" s="393"/>
      <c r="H185" s="390" t="s">
        <v>71</v>
      </c>
      <c r="I185" s="390"/>
      <c r="J185" s="390"/>
      <c r="K185" s="390" t="s">
        <v>72</v>
      </c>
      <c r="L185" s="390"/>
      <c r="M185" s="390"/>
      <c r="N185" s="414"/>
      <c r="O185" s="414"/>
      <c r="P185" s="414"/>
    </row>
    <row r="186" spans="1:16" s="20" customFormat="1" ht="42" hidden="1" customHeight="1">
      <c r="A186" s="390"/>
      <c r="B186" s="390" t="s">
        <v>25</v>
      </c>
      <c r="C186" s="390" t="s">
        <v>25</v>
      </c>
      <c r="D186" s="390" t="s">
        <v>25</v>
      </c>
      <c r="E186" s="393" t="s">
        <v>25</v>
      </c>
      <c r="F186" s="390" t="s">
        <v>25</v>
      </c>
      <c r="G186" s="390" t="s">
        <v>25</v>
      </c>
      <c r="H186" s="390" t="s">
        <v>32</v>
      </c>
      <c r="I186" s="390" t="s">
        <v>29</v>
      </c>
      <c r="J186" s="390"/>
      <c r="K186" s="390" t="s">
        <v>33</v>
      </c>
      <c r="L186" s="390" t="s">
        <v>34</v>
      </c>
      <c r="M186" s="390" t="s">
        <v>35</v>
      </c>
      <c r="N186" s="414"/>
      <c r="O186" s="414"/>
      <c r="P186" s="414"/>
    </row>
    <row r="187" spans="1:16" s="20" customFormat="1" ht="27.75" hidden="1" customHeight="1">
      <c r="A187" s="390"/>
      <c r="B187" s="390"/>
      <c r="C187" s="390"/>
      <c r="D187" s="390"/>
      <c r="E187" s="393"/>
      <c r="F187" s="390"/>
      <c r="G187" s="390"/>
      <c r="H187" s="390"/>
      <c r="I187" s="11" t="s">
        <v>42</v>
      </c>
      <c r="J187" s="16" t="s">
        <v>30</v>
      </c>
      <c r="K187" s="390"/>
      <c r="L187" s="390"/>
      <c r="M187" s="390"/>
      <c r="N187" s="414"/>
      <c r="O187" s="414"/>
      <c r="P187" s="414"/>
    </row>
    <row r="188" spans="1:16" s="20" customFormat="1" hidden="1">
      <c r="A188" s="14">
        <v>1</v>
      </c>
      <c r="B188" s="14">
        <v>2</v>
      </c>
      <c r="C188" s="14">
        <v>3</v>
      </c>
      <c r="D188" s="14">
        <v>4</v>
      </c>
      <c r="E188" s="12">
        <v>4</v>
      </c>
      <c r="F188" s="12">
        <v>5</v>
      </c>
      <c r="G188" s="12">
        <v>6</v>
      </c>
      <c r="H188" s="12">
        <v>7</v>
      </c>
      <c r="I188" s="12">
        <v>8</v>
      </c>
      <c r="J188" s="12">
        <v>9</v>
      </c>
      <c r="K188" s="12">
        <v>10</v>
      </c>
      <c r="L188" s="12">
        <v>11</v>
      </c>
      <c r="M188" s="12">
        <v>12</v>
      </c>
      <c r="N188" s="24"/>
      <c r="O188" s="25"/>
      <c r="P188" s="25"/>
    </row>
    <row r="189" spans="1:16" s="20" customFormat="1" hidden="1">
      <c r="A189" s="17"/>
      <c r="B189" s="17"/>
      <c r="C189" s="13"/>
      <c r="D189" s="13"/>
      <c r="E189" s="13"/>
      <c r="F189" s="13"/>
      <c r="G189" s="13"/>
      <c r="H189" s="17"/>
      <c r="I189" s="17"/>
      <c r="J189" s="13"/>
      <c r="K189" s="13"/>
      <c r="L189" s="13"/>
      <c r="M189" s="13"/>
      <c r="N189" s="26"/>
      <c r="O189" s="22"/>
      <c r="P189" s="22"/>
    </row>
    <row r="190" spans="1:16" s="20" customFormat="1" hidden="1">
      <c r="A190" s="17"/>
      <c r="B190" s="17"/>
      <c r="C190" s="13"/>
      <c r="D190" s="13"/>
      <c r="E190" s="13"/>
      <c r="F190" s="13"/>
      <c r="G190" s="13"/>
      <c r="H190" s="17"/>
      <c r="I190" s="17"/>
      <c r="J190" s="13"/>
      <c r="K190" s="13"/>
      <c r="L190" s="13"/>
      <c r="M190" s="13"/>
      <c r="N190" s="26"/>
      <c r="O190" s="22"/>
      <c r="P190" s="22"/>
    </row>
    <row r="191" spans="1:16" s="20" customFormat="1" hidden="1">
      <c r="A191" s="17"/>
      <c r="B191" s="17"/>
      <c r="C191" s="13"/>
      <c r="D191" s="13"/>
      <c r="E191" s="13"/>
      <c r="F191" s="13"/>
      <c r="G191" s="13"/>
      <c r="H191" s="17"/>
      <c r="I191" s="17"/>
      <c r="J191" s="13"/>
      <c r="K191" s="13"/>
      <c r="L191" s="13"/>
      <c r="M191" s="13"/>
      <c r="N191" s="26"/>
      <c r="O191" s="22"/>
      <c r="P191" s="22"/>
    </row>
    <row r="192" spans="1:16" s="20" customFormat="1" hidden="1">
      <c r="A192" s="17"/>
      <c r="B192" s="17"/>
      <c r="C192" s="13"/>
      <c r="D192" s="13"/>
      <c r="E192" s="13"/>
      <c r="F192" s="13"/>
      <c r="G192" s="13"/>
      <c r="H192" s="17"/>
      <c r="I192" s="17"/>
      <c r="J192" s="13"/>
      <c r="K192" s="13"/>
      <c r="L192" s="13"/>
      <c r="M192" s="13"/>
      <c r="N192" s="26"/>
      <c r="O192" s="22"/>
      <c r="P192" s="22"/>
    </row>
    <row r="193" spans="1:16" s="20" customFormat="1" hidden="1">
      <c r="A193" s="17"/>
      <c r="B193" s="17"/>
      <c r="C193" s="13"/>
      <c r="D193" s="13"/>
      <c r="E193" s="13"/>
      <c r="F193" s="13"/>
      <c r="G193" s="13"/>
      <c r="H193" s="17"/>
      <c r="I193" s="17"/>
      <c r="J193" s="13"/>
      <c r="K193" s="13"/>
      <c r="L193" s="13"/>
      <c r="M193" s="13"/>
      <c r="N193" s="26"/>
      <c r="O193" s="22"/>
      <c r="P193" s="22"/>
    </row>
    <row r="194" spans="1:16" s="20" customFormat="1" hidden="1">
      <c r="A194" s="17"/>
      <c r="B194" s="17"/>
      <c r="C194" s="13"/>
      <c r="D194" s="13"/>
      <c r="E194" s="13"/>
      <c r="F194" s="13"/>
      <c r="G194" s="13"/>
      <c r="H194" s="17"/>
      <c r="I194" s="17"/>
      <c r="J194" s="13"/>
      <c r="K194" s="13"/>
      <c r="L194" s="13"/>
      <c r="M194" s="13"/>
      <c r="N194" s="26"/>
      <c r="O194" s="22"/>
      <c r="P194" s="22"/>
    </row>
    <row r="195" spans="1:16" s="20" customFormat="1" hidden="1">
      <c r="A195" s="17"/>
      <c r="B195" s="17"/>
      <c r="C195" s="13"/>
      <c r="D195" s="13"/>
      <c r="E195" s="13"/>
      <c r="F195" s="13"/>
      <c r="G195" s="13"/>
      <c r="H195" s="17"/>
      <c r="I195" s="17"/>
      <c r="J195" s="13"/>
      <c r="K195" s="13"/>
      <c r="L195" s="13"/>
      <c r="M195" s="13"/>
      <c r="N195" s="26"/>
      <c r="O195" s="22"/>
      <c r="P195" s="22"/>
    </row>
    <row r="196" spans="1:16" s="20" customFormat="1" hidden="1">
      <c r="A196" s="17"/>
      <c r="B196" s="17"/>
      <c r="C196" s="13"/>
      <c r="D196" s="13"/>
      <c r="E196" s="13"/>
      <c r="F196" s="13"/>
      <c r="G196" s="13"/>
      <c r="H196" s="17"/>
      <c r="I196" s="17"/>
      <c r="J196" s="13"/>
      <c r="K196" s="13"/>
      <c r="L196" s="13"/>
      <c r="M196" s="13"/>
      <c r="N196" s="26"/>
      <c r="O196" s="22"/>
      <c r="P196" s="22"/>
    </row>
    <row r="197" spans="1:16" s="20" customFormat="1" hidden="1"/>
    <row r="198" spans="1:16" s="20" customFormat="1" hidden="1">
      <c r="A198" s="20" t="s">
        <v>74</v>
      </c>
    </row>
    <row r="199" spans="1:16" s="20" customFormat="1" hidden="1">
      <c r="A199" s="20" t="s">
        <v>37</v>
      </c>
      <c r="D199" s="388"/>
    </row>
    <row r="200" spans="1:16" s="20" customFormat="1" hidden="1">
      <c r="D200" s="388"/>
    </row>
    <row r="201" spans="1:16" s="20" customFormat="1" hidden="1">
      <c r="A201" s="27" t="s">
        <v>43</v>
      </c>
    </row>
    <row r="202" spans="1:16" s="20" customFormat="1" hidden="1">
      <c r="A202" s="20" t="s">
        <v>44</v>
      </c>
    </row>
    <row r="203" spans="1:16" s="20" customFormat="1" hidden="1">
      <c r="A203" s="20" t="s">
        <v>45</v>
      </c>
    </row>
    <row r="204" spans="1:16" s="19" customFormat="1" hidden="1"/>
    <row r="205" spans="1:16" s="19" customFormat="1" hidden="1"/>
    <row r="206" spans="1:16" s="19" customFormat="1"/>
    <row r="207" spans="1:16" s="19" customFormat="1">
      <c r="A207" s="376" t="s">
        <v>75</v>
      </c>
      <c r="B207" s="376"/>
      <c r="C207" s="376"/>
      <c r="D207" s="376"/>
      <c r="E207" s="376"/>
      <c r="F207" s="376"/>
      <c r="G207" s="376"/>
      <c r="H207" s="376"/>
      <c r="I207" s="376"/>
      <c r="J207" s="376"/>
      <c r="K207" s="376"/>
      <c r="L207" s="376"/>
      <c r="M207" s="376"/>
      <c r="N207" s="376"/>
      <c r="O207" s="376"/>
      <c r="P207" s="376"/>
    </row>
    <row r="208" spans="1:16" s="19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19" customFormat="1">
      <c r="A209" s="28" t="s">
        <v>76</v>
      </c>
      <c r="B209" s="3"/>
      <c r="C209" s="3"/>
      <c r="D209" s="3"/>
      <c r="E209" s="3"/>
      <c r="F209" s="3"/>
      <c r="G209" s="3"/>
      <c r="H209" s="386"/>
      <c r="I209" s="386"/>
      <c r="J209" s="386"/>
      <c r="K209" s="386"/>
      <c r="L209" s="386"/>
      <c r="M209" s="386"/>
      <c r="N209" s="386"/>
      <c r="O209" s="386"/>
      <c r="P209" s="3"/>
    </row>
    <row r="210" spans="1:16" s="19" customFormat="1">
      <c r="A210" s="386"/>
      <c r="B210" s="386"/>
      <c r="C210" s="386"/>
      <c r="D210" s="386"/>
      <c r="E210" s="386"/>
      <c r="F210" s="386"/>
      <c r="G210" s="386"/>
      <c r="H210" s="386"/>
      <c r="I210" s="386"/>
      <c r="J210" s="386"/>
      <c r="K210" s="386"/>
      <c r="L210" s="386"/>
      <c r="M210" s="386"/>
      <c r="N210" s="386"/>
      <c r="O210" s="386"/>
      <c r="P210" s="3"/>
    </row>
    <row r="211" spans="1:16" s="19" customForma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19" customFormat="1">
      <c r="A212" s="28" t="s">
        <v>77</v>
      </c>
      <c r="B212" s="3"/>
      <c r="C212" s="3"/>
      <c r="D212" s="3"/>
      <c r="E212" s="3"/>
      <c r="F212" s="3"/>
      <c r="G212" s="3"/>
      <c r="H212" s="3"/>
      <c r="I212" s="3"/>
      <c r="J212" s="386"/>
      <c r="K212" s="386"/>
      <c r="L212" s="386"/>
      <c r="M212" s="386"/>
      <c r="N212" s="386"/>
      <c r="O212" s="386"/>
      <c r="P212" s="3"/>
    </row>
    <row r="213" spans="1:16" s="19" customFormat="1">
      <c r="A213" s="386"/>
      <c r="B213" s="386"/>
      <c r="C213" s="386"/>
      <c r="D213" s="386"/>
      <c r="E213" s="386"/>
      <c r="F213" s="386"/>
      <c r="G213" s="386"/>
      <c r="H213" s="386"/>
      <c r="I213" s="386"/>
      <c r="J213" s="386"/>
      <c r="K213" s="386"/>
      <c r="L213" s="386"/>
      <c r="M213" s="386"/>
      <c r="N213" s="386"/>
      <c r="O213" s="386"/>
      <c r="P213" s="3"/>
    </row>
    <row r="214" spans="1:16" s="19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20" customFormat="1">
      <c r="A215" s="20" t="s">
        <v>78</v>
      </c>
    </row>
    <row r="216" spans="1:16" s="20" customFormat="1"/>
    <row r="217" spans="1:16" s="20" customFormat="1" ht="46.5" customHeight="1">
      <c r="A217" s="388" t="s">
        <v>79</v>
      </c>
      <c r="B217" s="388"/>
      <c r="C217" s="388"/>
      <c r="D217" s="388" t="s">
        <v>80</v>
      </c>
      <c r="E217" s="388"/>
      <c r="F217" s="388"/>
      <c r="G217" s="388"/>
      <c r="H217" s="416" t="s">
        <v>81</v>
      </c>
      <c r="I217" s="416"/>
      <c r="J217" s="416"/>
      <c r="K217" s="416"/>
      <c r="L217" s="416"/>
      <c r="M217" s="416"/>
    </row>
    <row r="218" spans="1:16" s="20" customFormat="1">
      <c r="A218" s="415">
        <v>1</v>
      </c>
      <c r="B218" s="415"/>
      <c r="C218" s="415"/>
      <c r="D218" s="415">
        <v>2</v>
      </c>
      <c r="E218" s="415"/>
      <c r="F218" s="415"/>
      <c r="G218" s="415"/>
      <c r="H218" s="415">
        <v>3</v>
      </c>
      <c r="I218" s="415"/>
      <c r="J218" s="415"/>
      <c r="K218" s="415"/>
      <c r="L218" s="415"/>
      <c r="M218" s="415"/>
    </row>
    <row r="219" spans="1:16" s="20" customFormat="1">
      <c r="A219" s="411"/>
      <c r="B219" s="389"/>
      <c r="C219" s="412"/>
      <c r="D219" s="411"/>
      <c r="E219" s="389"/>
      <c r="F219" s="389"/>
      <c r="G219" s="412"/>
      <c r="H219" s="388"/>
      <c r="I219" s="388"/>
      <c r="J219" s="388"/>
      <c r="K219" s="388"/>
      <c r="L219" s="388"/>
      <c r="M219" s="388"/>
    </row>
    <row r="220" spans="1:16" s="20" customFormat="1">
      <c r="A220" s="409"/>
      <c r="B220" s="413"/>
      <c r="C220" s="410"/>
      <c r="D220" s="409"/>
      <c r="E220" s="413"/>
      <c r="F220" s="413"/>
      <c r="G220" s="410"/>
      <c r="H220" s="388"/>
      <c r="I220" s="388"/>
      <c r="J220" s="388"/>
      <c r="K220" s="388"/>
      <c r="L220" s="388"/>
      <c r="M220" s="388"/>
    </row>
    <row r="221" spans="1:16" s="19" customFormat="1"/>
    <row r="222" spans="1:16" s="19" customFormat="1"/>
    <row r="223" spans="1:16">
      <c r="A223" s="1" t="s">
        <v>82</v>
      </c>
      <c r="G223" s="386"/>
      <c r="H223" s="386"/>
      <c r="I223" s="386"/>
      <c r="J223" s="386"/>
      <c r="K223" s="386"/>
      <c r="L223" s="386"/>
      <c r="M223" s="386"/>
      <c r="N223" s="386"/>
      <c r="O223" s="386"/>
    </row>
    <row r="224" spans="1:16">
      <c r="A224" s="1" t="s">
        <v>83</v>
      </c>
      <c r="H224" s="386" t="s">
        <v>315</v>
      </c>
      <c r="I224" s="386"/>
      <c r="J224" s="386"/>
      <c r="K224" s="386"/>
      <c r="L224" s="386"/>
      <c r="M224" s="386"/>
      <c r="N224" s="386"/>
      <c r="O224" s="386"/>
    </row>
    <row r="225" spans="1:15" ht="61.5" customHeight="1">
      <c r="A225" s="1" t="s">
        <v>84</v>
      </c>
      <c r="G225" s="365" t="s">
        <v>316</v>
      </c>
      <c r="H225" s="365"/>
      <c r="I225" s="365"/>
      <c r="J225" s="365"/>
      <c r="K225" s="365"/>
      <c r="L225" s="365"/>
      <c r="M225" s="365"/>
      <c r="N225" s="365"/>
      <c r="O225" s="365"/>
    </row>
    <row r="226" spans="1:15">
      <c r="A226" s="1" t="s">
        <v>85</v>
      </c>
      <c r="G226" s="370"/>
      <c r="H226" s="370"/>
      <c r="I226" s="370"/>
      <c r="J226" s="370"/>
      <c r="K226" s="370"/>
      <c r="L226" s="370"/>
      <c r="M226" s="370"/>
      <c r="N226" s="370"/>
      <c r="O226" s="370"/>
    </row>
    <row r="227" spans="1:15">
      <c r="A227" s="386"/>
      <c r="B227" s="386"/>
      <c r="C227" s="386"/>
      <c r="D227" s="386"/>
      <c r="E227" s="386"/>
      <c r="F227" s="386"/>
      <c r="G227" s="386"/>
      <c r="H227" s="386"/>
      <c r="I227" s="386"/>
      <c r="J227" s="386"/>
      <c r="K227" s="386"/>
      <c r="L227" s="386"/>
      <c r="M227" s="386"/>
      <c r="N227" s="386"/>
      <c r="O227" s="386"/>
    </row>
    <row r="229" spans="1:15">
      <c r="A229" s="1" t="s">
        <v>86</v>
      </c>
      <c r="G229" s="386"/>
      <c r="H229" s="386"/>
      <c r="I229" s="386"/>
      <c r="J229" s="386"/>
      <c r="K229" s="386"/>
      <c r="L229" s="386"/>
      <c r="M229" s="386"/>
      <c r="N229" s="386"/>
      <c r="O229" s="386"/>
    </row>
    <row r="230" spans="1:15">
      <c r="A230" s="386"/>
      <c r="B230" s="386"/>
      <c r="C230" s="386"/>
      <c r="D230" s="386"/>
      <c r="E230" s="386"/>
      <c r="F230" s="386"/>
      <c r="G230" s="386"/>
      <c r="H230" s="386"/>
      <c r="I230" s="386"/>
      <c r="J230" s="386"/>
      <c r="K230" s="386"/>
      <c r="L230" s="386"/>
      <c r="M230" s="386"/>
      <c r="N230" s="386"/>
      <c r="O230" s="386"/>
    </row>
    <row r="234" spans="1:15">
      <c r="A234" s="27" t="s">
        <v>87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5">
      <c r="A235" s="20" t="s">
        <v>88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5">
      <c r="A236" s="1" t="s">
        <v>89</v>
      </c>
    </row>
    <row r="237" spans="1:15">
      <c r="A237" s="1" t="s">
        <v>90</v>
      </c>
    </row>
    <row r="238" spans="1:15">
      <c r="A238" s="1" t="s">
        <v>91</v>
      </c>
    </row>
  </sheetData>
  <mergeCells count="291">
    <mergeCell ref="A53:B53"/>
    <mergeCell ref="B66:D66"/>
    <mergeCell ref="D83:G83"/>
    <mergeCell ref="H83:K83"/>
    <mergeCell ref="B69:D69"/>
    <mergeCell ref="G69:M69"/>
    <mergeCell ref="A75:L75"/>
    <mergeCell ref="A76:L76"/>
    <mergeCell ref="A84:C84"/>
    <mergeCell ref="D84:G84"/>
    <mergeCell ref="H84:K84"/>
    <mergeCell ref="A81:C81"/>
    <mergeCell ref="D81:G81"/>
    <mergeCell ref="H81:K81"/>
    <mergeCell ref="A82:C82"/>
    <mergeCell ref="D82:G82"/>
    <mergeCell ref="H82:K82"/>
    <mergeCell ref="A83:C83"/>
    <mergeCell ref="F113:G113"/>
    <mergeCell ref="C98:E98"/>
    <mergeCell ref="C99:C100"/>
    <mergeCell ref="D99:D100"/>
    <mergeCell ref="E99:E100"/>
    <mergeCell ref="N48:P48"/>
    <mergeCell ref="C49:C50"/>
    <mergeCell ref="D49:D50"/>
    <mergeCell ref="E49:E50"/>
    <mergeCell ref="F49:F50"/>
    <mergeCell ref="O102:P102"/>
    <mergeCell ref="O105:P105"/>
    <mergeCell ref="N113:P113"/>
    <mergeCell ref="H113:J113"/>
    <mergeCell ref="O103:P103"/>
    <mergeCell ref="O104:P104"/>
    <mergeCell ref="H48:J48"/>
    <mergeCell ref="N49:N50"/>
    <mergeCell ref="O49:O50"/>
    <mergeCell ref="P49:P50"/>
    <mergeCell ref="A65:M65"/>
    <mergeCell ref="A48:B50"/>
    <mergeCell ref="C48:E48"/>
    <mergeCell ref="F48:G48"/>
    <mergeCell ref="A116:B116"/>
    <mergeCell ref="A117:B117"/>
    <mergeCell ref="A118:B118"/>
    <mergeCell ref="A119:B119"/>
    <mergeCell ref="A120:B120"/>
    <mergeCell ref="K48:M48"/>
    <mergeCell ref="L49:L50"/>
    <mergeCell ref="M49:M50"/>
    <mergeCell ref="A113:B115"/>
    <mergeCell ref="C113:E113"/>
    <mergeCell ref="A102:B102"/>
    <mergeCell ref="A103:B103"/>
    <mergeCell ref="A105:B105"/>
    <mergeCell ref="A104:B104"/>
    <mergeCell ref="H114:H115"/>
    <mergeCell ref="H102:I102"/>
    <mergeCell ref="H103:I103"/>
    <mergeCell ref="H104:I104"/>
    <mergeCell ref="H105:I105"/>
    <mergeCell ref="J102:K102"/>
    <mergeCell ref="J103:K103"/>
    <mergeCell ref="J104:K104"/>
    <mergeCell ref="J105:K105"/>
    <mergeCell ref="K113:M113"/>
    <mergeCell ref="A40:B40"/>
    <mergeCell ref="H40:I40"/>
    <mergeCell ref="J40:K40"/>
    <mergeCell ref="A91:N91"/>
    <mergeCell ref="A92:N92"/>
    <mergeCell ref="A101:B101"/>
    <mergeCell ref="A98:B100"/>
    <mergeCell ref="G49:G50"/>
    <mergeCell ref="H49:H50"/>
    <mergeCell ref="I49:J49"/>
    <mergeCell ref="A86:P86"/>
    <mergeCell ref="E88:L88"/>
    <mergeCell ref="A89:L89"/>
    <mergeCell ref="H101:I101"/>
    <mergeCell ref="O101:P101"/>
    <mergeCell ref="J101:K101"/>
    <mergeCell ref="A51:B51"/>
    <mergeCell ref="G66:M66"/>
    <mergeCell ref="B67:D67"/>
    <mergeCell ref="G67:M67"/>
    <mergeCell ref="B68:D68"/>
    <mergeCell ref="G68:M68"/>
    <mergeCell ref="K49:K50"/>
    <mergeCell ref="A52:B52"/>
    <mergeCell ref="N37:N38"/>
    <mergeCell ref="O37:P38"/>
    <mergeCell ref="J38:K38"/>
    <mergeCell ref="A39:B39"/>
    <mergeCell ref="H39:I39"/>
    <mergeCell ref="J39:K39"/>
    <mergeCell ref="O39:P39"/>
    <mergeCell ref="C37:C38"/>
    <mergeCell ref="D37:D38"/>
    <mergeCell ref="E37:E38"/>
    <mergeCell ref="F37:F38"/>
    <mergeCell ref="G37:G38"/>
    <mergeCell ref="H37:I38"/>
    <mergeCell ref="N185:P185"/>
    <mergeCell ref="D186:D187"/>
    <mergeCell ref="E186:E187"/>
    <mergeCell ref="A24:P24"/>
    <mergeCell ref="E26:L26"/>
    <mergeCell ref="O26:P28"/>
    <mergeCell ref="A27:L27"/>
    <mergeCell ref="A29:N29"/>
    <mergeCell ref="A30:N30"/>
    <mergeCell ref="A36:B38"/>
    <mergeCell ref="J176:K176"/>
    <mergeCell ref="O176:P176"/>
    <mergeCell ref="A177:B177"/>
    <mergeCell ref="H177:I177"/>
    <mergeCell ref="J177:K177"/>
    <mergeCell ref="O177:P177"/>
    <mergeCell ref="A174:B174"/>
    <mergeCell ref="H174:I174"/>
    <mergeCell ref="J174:K174"/>
    <mergeCell ref="O174:P174"/>
    <mergeCell ref="A175:B175"/>
    <mergeCell ref="H175:I175"/>
    <mergeCell ref="J175:K175"/>
    <mergeCell ref="O175:P175"/>
    <mergeCell ref="A217:C217"/>
    <mergeCell ref="D217:G217"/>
    <mergeCell ref="A218:C218"/>
    <mergeCell ref="C157:L157"/>
    <mergeCell ref="D159:M159"/>
    <mergeCell ref="A160:M160"/>
    <mergeCell ref="A207:P207"/>
    <mergeCell ref="H209:O209"/>
    <mergeCell ref="A210:O210"/>
    <mergeCell ref="P186:P187"/>
    <mergeCell ref="D180:D181"/>
    <mergeCell ref="J212:O212"/>
    <mergeCell ref="A185:A187"/>
    <mergeCell ref="B185:D185"/>
    <mergeCell ref="E185:G185"/>
    <mergeCell ref="H185:J185"/>
    <mergeCell ref="K185:M185"/>
    <mergeCell ref="L186:L187"/>
    <mergeCell ref="M186:M187"/>
    <mergeCell ref="F186:F187"/>
    <mergeCell ref="G186:G187"/>
    <mergeCell ref="H186:H187"/>
    <mergeCell ref="A176:B176"/>
    <mergeCell ref="H176:I176"/>
    <mergeCell ref="A219:C219"/>
    <mergeCell ref="D219:G219"/>
    <mergeCell ref="A220:C220"/>
    <mergeCell ref="D220:G220"/>
    <mergeCell ref="H219:M219"/>
    <mergeCell ref="H220:M220"/>
    <mergeCell ref="A230:O230"/>
    <mergeCell ref="N186:N187"/>
    <mergeCell ref="O186:O187"/>
    <mergeCell ref="D199:D200"/>
    <mergeCell ref="A213:O213"/>
    <mergeCell ref="B186:B187"/>
    <mergeCell ref="C186:C187"/>
    <mergeCell ref="D218:G218"/>
    <mergeCell ref="H217:M217"/>
    <mergeCell ref="H218:M218"/>
    <mergeCell ref="I186:J186"/>
    <mergeCell ref="K186:K187"/>
    <mergeCell ref="G226:O226"/>
    <mergeCell ref="A227:O227"/>
    <mergeCell ref="G229:O229"/>
    <mergeCell ref="H224:O224"/>
    <mergeCell ref="G223:O223"/>
    <mergeCell ref="G225:O225"/>
    <mergeCell ref="A172:B172"/>
    <mergeCell ref="H172:I172"/>
    <mergeCell ref="J172:K172"/>
    <mergeCell ref="O172:P172"/>
    <mergeCell ref="A173:B173"/>
    <mergeCell ref="H173:I173"/>
    <mergeCell ref="J173:K173"/>
    <mergeCell ref="O173:P173"/>
    <mergeCell ref="A170:B170"/>
    <mergeCell ref="H170:I170"/>
    <mergeCell ref="J170:K170"/>
    <mergeCell ref="O170:P170"/>
    <mergeCell ref="A171:B171"/>
    <mergeCell ref="H171:I171"/>
    <mergeCell ref="J171:K171"/>
    <mergeCell ref="O171:P171"/>
    <mergeCell ref="A169:B169"/>
    <mergeCell ref="H169:I169"/>
    <mergeCell ref="J169:K169"/>
    <mergeCell ref="O169:P169"/>
    <mergeCell ref="C167:C168"/>
    <mergeCell ref="D167:D168"/>
    <mergeCell ref="E167:E168"/>
    <mergeCell ref="F167:F168"/>
    <mergeCell ref="G167:G168"/>
    <mergeCell ref="H167:I168"/>
    <mergeCell ref="O157:P159"/>
    <mergeCell ref="A158:L158"/>
    <mergeCell ref="A166:B168"/>
    <mergeCell ref="C166:E166"/>
    <mergeCell ref="F166:G166"/>
    <mergeCell ref="H166:L166"/>
    <mergeCell ref="M166:P166"/>
    <mergeCell ref="H150:K150"/>
    <mergeCell ref="H151:K151"/>
    <mergeCell ref="A154:P154"/>
    <mergeCell ref="A155:P155"/>
    <mergeCell ref="A150:C150"/>
    <mergeCell ref="A151:C151"/>
    <mergeCell ref="D150:G150"/>
    <mergeCell ref="D151:G151"/>
    <mergeCell ref="J167:L167"/>
    <mergeCell ref="M167:M168"/>
    <mergeCell ref="N167:N168"/>
    <mergeCell ref="O167:P168"/>
    <mergeCell ref="J168:K168"/>
    <mergeCell ref="B133:D133"/>
    <mergeCell ref="G133:M133"/>
    <mergeCell ref="A143:L143"/>
    <mergeCell ref="A148:C148"/>
    <mergeCell ref="D148:G148"/>
    <mergeCell ref="H148:K148"/>
    <mergeCell ref="G136:M136"/>
    <mergeCell ref="A149:C149"/>
    <mergeCell ref="D149:G149"/>
    <mergeCell ref="H149:K149"/>
    <mergeCell ref="A132:M132"/>
    <mergeCell ref="B134:D134"/>
    <mergeCell ref="G134:M134"/>
    <mergeCell ref="A142:L142"/>
    <mergeCell ref="B135:D135"/>
    <mergeCell ref="B136:D136"/>
    <mergeCell ref="G135:M135"/>
    <mergeCell ref="A8:P8"/>
    <mergeCell ref="A9:P9"/>
    <mergeCell ref="O12:P12"/>
    <mergeCell ref="O11:P11"/>
    <mergeCell ref="M11:N11"/>
    <mergeCell ref="O10:P10"/>
    <mergeCell ref="O17:P17"/>
    <mergeCell ref="O18:P19"/>
    <mergeCell ref="O13:P14"/>
    <mergeCell ref="M14:N14"/>
    <mergeCell ref="A17:L17"/>
    <mergeCell ref="A19:L19"/>
    <mergeCell ref="A14:L14"/>
    <mergeCell ref="A16:L16"/>
    <mergeCell ref="O15:P15"/>
    <mergeCell ref="O16:P16"/>
    <mergeCell ref="A23:P23"/>
    <mergeCell ref="A20:J20"/>
    <mergeCell ref="O88:P90"/>
    <mergeCell ref="C36:E36"/>
    <mergeCell ref="F36:G36"/>
    <mergeCell ref="H36:L36"/>
    <mergeCell ref="M36:P36"/>
    <mergeCell ref="F98:G98"/>
    <mergeCell ref="F99:F100"/>
    <mergeCell ref="G99:G100"/>
    <mergeCell ref="M98:P98"/>
    <mergeCell ref="H98:L98"/>
    <mergeCell ref="H99:I100"/>
    <mergeCell ref="J99:L99"/>
    <mergeCell ref="J100:K100"/>
    <mergeCell ref="M99:M100"/>
    <mergeCell ref="N99:N100"/>
    <mergeCell ref="O99:P100"/>
    <mergeCell ref="O40:P40"/>
    <mergeCell ref="A41:B41"/>
    <mergeCell ref="H41:I41"/>
    <mergeCell ref="J41:K41"/>
    <mergeCell ref="O41:P41"/>
    <mergeCell ref="J37:L37"/>
    <mergeCell ref="M37:M38"/>
    <mergeCell ref="O114:O115"/>
    <mergeCell ref="P114:P115"/>
    <mergeCell ref="F114:F115"/>
    <mergeCell ref="G114:G115"/>
    <mergeCell ref="M114:M115"/>
    <mergeCell ref="N114:N115"/>
    <mergeCell ref="C114:C115"/>
    <mergeCell ref="D114:D115"/>
    <mergeCell ref="E114:E115"/>
    <mergeCell ref="L114:L115"/>
    <mergeCell ref="I114:J114"/>
    <mergeCell ref="K114:K115"/>
  </mergeCells>
  <pageMargins left="0.16" right="0.16" top="0.33" bottom="0.32" header="0.28000000000000003" footer="0.28999999999999998"/>
  <pageSetup paperSize="9" scale="79" orientation="landscape" r:id="rId1"/>
  <rowBreaks count="2" manualBreakCount="2">
    <brk id="97" max="15" man="1"/>
    <brk id="15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topLeftCell="A7" zoomScaleSheetLayoutView="100" workbookViewId="0">
      <selection activeCell="C16" sqref="C16"/>
    </sheetView>
  </sheetViews>
  <sheetFormatPr defaultRowHeight="12.75"/>
  <cols>
    <col min="1" max="1" width="12.140625" style="38" customWidth="1"/>
    <col min="2" max="2" width="15.5703125" style="38" customWidth="1"/>
    <col min="3" max="3" width="18.140625" style="38" customWidth="1"/>
    <col min="4" max="4" width="15.140625" style="38" customWidth="1"/>
    <col min="5" max="6" width="9.140625" style="38"/>
    <col min="7" max="7" width="12.42578125" style="38" customWidth="1"/>
    <col min="8" max="8" width="13.5703125" style="38" customWidth="1"/>
    <col min="9" max="9" width="12" style="38" customWidth="1"/>
    <col min="10" max="10" width="13.7109375" style="38" customWidth="1"/>
    <col min="11" max="11" width="9.140625" style="38"/>
    <col min="12" max="15" width="14.7109375" style="38" customWidth="1"/>
    <col min="16" max="16" width="15.140625" style="38" customWidth="1"/>
    <col min="17" max="16384" width="9.140625" style="38"/>
  </cols>
  <sheetData>
    <row r="2" spans="1:16" ht="18">
      <c r="A2" s="420" t="s">
        <v>112</v>
      </c>
      <c r="B2" s="420"/>
      <c r="C2" s="420"/>
      <c r="D2" s="420"/>
    </row>
    <row r="3" spans="1:16">
      <c r="H3" s="38" t="s">
        <v>118</v>
      </c>
    </row>
    <row r="4" spans="1:16">
      <c r="G4" s="38" t="s">
        <v>115</v>
      </c>
      <c r="H4" s="38">
        <v>50492.21</v>
      </c>
    </row>
    <row r="5" spans="1:16">
      <c r="G5" s="38" t="s">
        <v>117</v>
      </c>
      <c r="H5" s="38">
        <v>6977.98</v>
      </c>
    </row>
    <row r="6" spans="1:16" ht="38.25">
      <c r="G6" s="49" t="s">
        <v>119</v>
      </c>
      <c r="H6" s="38">
        <v>37.35</v>
      </c>
    </row>
    <row r="8" spans="1:16" ht="29.25" customHeight="1">
      <c r="G8" s="421" t="s">
        <v>122</v>
      </c>
      <c r="H8" s="421"/>
      <c r="I8" s="421"/>
      <c r="J8" s="421"/>
      <c r="K8" s="421"/>
    </row>
    <row r="9" spans="1:16">
      <c r="G9" s="51"/>
      <c r="H9" s="51"/>
      <c r="K9" s="51"/>
    </row>
    <row r="10" spans="1:16">
      <c r="G10" s="51"/>
      <c r="H10" s="51"/>
      <c r="I10" s="422" t="s">
        <v>123</v>
      </c>
      <c r="J10" s="423"/>
      <c r="K10" s="51"/>
      <c r="L10" s="422" t="s">
        <v>327</v>
      </c>
      <c r="M10" s="423"/>
      <c r="N10" s="422" t="s">
        <v>328</v>
      </c>
      <c r="O10" s="423"/>
    </row>
    <row r="11" spans="1:16">
      <c r="H11" s="48"/>
      <c r="I11" s="39" t="s">
        <v>118</v>
      </c>
      <c r="J11" s="39" t="s">
        <v>120</v>
      </c>
      <c r="L11" s="39" t="s">
        <v>118</v>
      </c>
      <c r="M11" s="39" t="s">
        <v>120</v>
      </c>
      <c r="N11" s="39" t="s">
        <v>118</v>
      </c>
      <c r="O11" s="39" t="s">
        <v>120</v>
      </c>
    </row>
    <row r="12" spans="1:16">
      <c r="A12" s="39" t="s">
        <v>113</v>
      </c>
      <c r="B12" s="39" t="s">
        <v>114</v>
      </c>
      <c r="C12" s="39" t="s">
        <v>115</v>
      </c>
      <c r="D12" s="39" t="s">
        <v>116</v>
      </c>
      <c r="G12" s="38" t="s">
        <v>326</v>
      </c>
      <c r="I12" s="54">
        <f>ROUND((L12*8+N12*4)/12,0)</f>
        <v>116</v>
      </c>
      <c r="J12" s="54">
        <f>ROUND((M12*8+O12*4)/12,0)</f>
        <v>529</v>
      </c>
      <c r="L12" s="319">
        <v>116</v>
      </c>
      <c r="M12" s="319">
        <v>529</v>
      </c>
      <c r="N12" s="319">
        <v>116</v>
      </c>
      <c r="O12" s="319">
        <v>529</v>
      </c>
    </row>
    <row r="13" spans="1:16" ht="26.25" customHeight="1">
      <c r="A13" s="40"/>
      <c r="B13" s="41">
        <f>B14+B24</f>
        <v>38042516</v>
      </c>
      <c r="C13" s="41">
        <f>C14+C24</f>
        <v>38042516</v>
      </c>
      <c r="D13" s="41">
        <f>D14+D24</f>
        <v>0</v>
      </c>
      <c r="G13" s="38" t="s">
        <v>118</v>
      </c>
      <c r="H13" s="38" t="s">
        <v>120</v>
      </c>
      <c r="M13" s="419" t="s">
        <v>118</v>
      </c>
      <c r="N13" s="419"/>
      <c r="O13" s="419" t="s">
        <v>120</v>
      </c>
      <c r="P13" s="419"/>
    </row>
    <row r="14" spans="1:16" s="43" customFormat="1" ht="14.1" customHeight="1">
      <c r="A14" s="43" t="s">
        <v>125</v>
      </c>
      <c r="B14" s="41">
        <f>SUM(B15:B18)</f>
        <v>31928166</v>
      </c>
      <c r="C14" s="41">
        <f>SUM(C15:C18)</f>
        <v>31928166</v>
      </c>
      <c r="D14" s="41">
        <f>SUM(D15:D18)</f>
        <v>0</v>
      </c>
      <c r="E14" s="42"/>
      <c r="F14" s="42"/>
      <c r="G14" s="42"/>
      <c r="H14" s="42"/>
      <c r="M14" s="90" t="s">
        <v>299</v>
      </c>
      <c r="N14" s="90" t="s">
        <v>300</v>
      </c>
      <c r="O14" s="90" t="s">
        <v>299</v>
      </c>
      <c r="P14" s="90" t="s">
        <v>300</v>
      </c>
    </row>
    <row r="15" spans="1:16" ht="14.1" customHeight="1">
      <c r="A15" s="39">
        <v>211</v>
      </c>
      <c r="B15" s="55">
        <v>24347511</v>
      </c>
      <c r="C15" s="44">
        <f>'свод '!C9+'свод '!C32</f>
        <v>24347511</v>
      </c>
      <c r="D15" s="44">
        <f t="shared" ref="D15:D33" si="0">B15-C15</f>
        <v>0</v>
      </c>
      <c r="G15" s="47">
        <f>ROUND(I15*$I$12,2)</f>
        <v>4378777.28</v>
      </c>
      <c r="H15" s="50">
        <f>B15-G15</f>
        <v>19968733.719999999</v>
      </c>
      <c r="I15" s="47">
        <f>ROUND(B15/($I$12+$J$12),2)</f>
        <v>37748.080000000002</v>
      </c>
      <c r="J15" s="47">
        <f>ROUND(B15/($I$12+$J$12),2)</f>
        <v>37748.080000000002</v>
      </c>
      <c r="M15" s="47">
        <f>ROUND('прил.1+2'!G10/(I12+J12)*I12,2)</f>
        <v>2236037.65</v>
      </c>
      <c r="N15" s="47">
        <f>G15-M15</f>
        <v>2142739.6300000004</v>
      </c>
      <c r="O15" s="47">
        <f>ROUND('прил.1+2'!G10/(I12+J12)*J12,2)</f>
        <v>10197102.710000001</v>
      </c>
      <c r="P15" s="47">
        <f>H15-O15</f>
        <v>9771631.0099999979</v>
      </c>
    </row>
    <row r="16" spans="1:16" ht="14.1" customHeight="1">
      <c r="A16" s="39">
        <v>213</v>
      </c>
      <c r="B16" s="55">
        <v>7352948</v>
      </c>
      <c r="C16" s="44">
        <f>'свод '!C10+'свод '!C33</f>
        <v>7352948</v>
      </c>
      <c r="D16" s="44">
        <f t="shared" si="0"/>
        <v>0</v>
      </c>
      <c r="G16" s="47">
        <f t="shared" ref="G16:G18" si="1">ROUND(I16*$I$12,2)</f>
        <v>1322390.72</v>
      </c>
      <c r="H16" s="50">
        <f t="shared" ref="H16:H18" si="2">B16-G16</f>
        <v>6030557.2800000003</v>
      </c>
      <c r="I16" s="47">
        <f t="shared" ref="I16:I18" si="3">ROUND(B16/($I$12+$J$12),2)</f>
        <v>11399.92</v>
      </c>
      <c r="J16" s="47">
        <f t="shared" ref="J16:J18" si="4">ROUND(B16/($I$12+$J$12),2)</f>
        <v>11399.92</v>
      </c>
      <c r="M16" s="38">
        <f>ROUND(M15*0.302,2)</f>
        <v>675283.37</v>
      </c>
      <c r="N16" s="47">
        <f>G16-M16</f>
        <v>647107.35</v>
      </c>
      <c r="O16" s="38">
        <f>ROUND(O15*0.302,2)</f>
        <v>3079525.02</v>
      </c>
      <c r="P16" s="47">
        <f>H16-O16</f>
        <v>2951032.2600000002</v>
      </c>
    </row>
    <row r="17" spans="1:16" ht="14.1" customHeight="1">
      <c r="A17" s="39">
        <v>226</v>
      </c>
      <c r="B17" s="55">
        <v>22597</v>
      </c>
      <c r="C17" s="44">
        <f>'свод '!C12</f>
        <v>22597</v>
      </c>
      <c r="D17" s="44">
        <f t="shared" si="0"/>
        <v>0</v>
      </c>
      <c r="G17" s="47">
        <f t="shared" si="1"/>
        <v>4063.48</v>
      </c>
      <c r="H17" s="50">
        <f t="shared" si="2"/>
        <v>18533.52</v>
      </c>
      <c r="I17" s="47">
        <f t="shared" si="3"/>
        <v>35.03</v>
      </c>
      <c r="J17" s="47">
        <f t="shared" si="4"/>
        <v>35.03</v>
      </c>
    </row>
    <row r="18" spans="1:16" ht="14.1" customHeight="1">
      <c r="A18" s="39">
        <v>340</v>
      </c>
      <c r="B18" s="55">
        <v>205110</v>
      </c>
      <c r="C18" s="44">
        <f>'свод '!C11</f>
        <v>205110</v>
      </c>
      <c r="D18" s="44">
        <f t="shared" si="0"/>
        <v>0</v>
      </c>
      <c r="G18" s="47">
        <f t="shared" si="1"/>
        <v>36888</v>
      </c>
      <c r="H18" s="50">
        <f t="shared" si="2"/>
        <v>168222</v>
      </c>
      <c r="I18" s="47">
        <f t="shared" si="3"/>
        <v>318</v>
      </c>
      <c r="J18" s="47">
        <f t="shared" si="4"/>
        <v>318</v>
      </c>
    </row>
    <row r="19" spans="1:16" ht="14.1" customHeight="1">
      <c r="A19" s="39"/>
      <c r="B19" s="46"/>
      <c r="C19" s="44"/>
      <c r="D19" s="44"/>
      <c r="G19" s="38" t="s">
        <v>121</v>
      </c>
      <c r="I19" s="47">
        <f>SUM(I15:I18)</f>
        <v>49501.03</v>
      </c>
      <c r="J19" s="47">
        <f>SUM(J15:J18)</f>
        <v>49501.03</v>
      </c>
    </row>
    <row r="20" spans="1:16" ht="14.1" customHeight="1">
      <c r="A20" s="39"/>
      <c r="B20" s="46"/>
      <c r="C20" s="44"/>
      <c r="D20" s="44"/>
    </row>
    <row r="21" spans="1:16" ht="14.1" customHeight="1">
      <c r="A21" s="39"/>
      <c r="B21" s="46"/>
      <c r="C21" s="44"/>
      <c r="D21" s="44"/>
      <c r="H21" s="424" t="s">
        <v>110</v>
      </c>
      <c r="I21" s="424"/>
      <c r="J21" s="424"/>
      <c r="K21" s="424"/>
    </row>
    <row r="22" spans="1:16" ht="14.1" customHeight="1">
      <c r="A22" s="39"/>
      <c r="B22" s="46"/>
      <c r="C22" s="44"/>
      <c r="D22" s="44"/>
      <c r="H22" s="422" t="s">
        <v>123</v>
      </c>
      <c r="I22" s="423"/>
      <c r="J22" s="422" t="s">
        <v>124</v>
      </c>
      <c r="K22" s="423"/>
      <c r="M22" s="422" t="s">
        <v>329</v>
      </c>
      <c r="N22" s="423"/>
      <c r="O22" s="422" t="s">
        <v>330</v>
      </c>
      <c r="P22" s="423"/>
    </row>
    <row r="23" spans="1:16" ht="14.1" customHeight="1">
      <c r="A23" s="39"/>
      <c r="B23" s="45"/>
      <c r="C23" s="44"/>
      <c r="D23" s="44"/>
      <c r="H23" s="39" t="s">
        <v>118</v>
      </c>
      <c r="I23" s="39" t="s">
        <v>120</v>
      </c>
      <c r="J23" s="39" t="s">
        <v>118</v>
      </c>
      <c r="K23" s="39" t="s">
        <v>120</v>
      </c>
      <c r="M23" s="39" t="s">
        <v>118</v>
      </c>
      <c r="N23" s="39" t="s">
        <v>120</v>
      </c>
      <c r="O23" s="39" t="s">
        <v>118</v>
      </c>
      <c r="P23" s="39" t="s">
        <v>120</v>
      </c>
    </row>
    <row r="24" spans="1:16" ht="14.1" customHeight="1">
      <c r="A24" s="40" t="s">
        <v>126</v>
      </c>
      <c r="B24" s="53">
        <f>SUM(B25:B33)</f>
        <v>6114350</v>
      </c>
      <c r="C24" s="53">
        <f>SUM(C25:C33)</f>
        <v>6114350</v>
      </c>
      <c r="D24" s="53">
        <f>SUM(D25:D33)</f>
        <v>0</v>
      </c>
      <c r="H24" s="54">
        <f>I12-J24</f>
        <v>115</v>
      </c>
      <c r="I24" s="54">
        <f>J12-K24</f>
        <v>528</v>
      </c>
      <c r="J24" s="54">
        <f>ROUND((M24*8+O24*4)/12,0)</f>
        <v>1</v>
      </c>
      <c r="K24" s="54">
        <f>ROUND((N24*8+P24*4)/12,0)</f>
        <v>1</v>
      </c>
      <c r="M24" s="319">
        <v>1</v>
      </c>
      <c r="N24" s="319">
        <v>1</v>
      </c>
      <c r="O24" s="319">
        <v>1</v>
      </c>
      <c r="P24" s="319">
        <v>1</v>
      </c>
    </row>
    <row r="25" spans="1:16" ht="14.1" customHeight="1">
      <c r="A25" s="39">
        <v>211</v>
      </c>
      <c r="B25" s="56">
        <v>1593288</v>
      </c>
      <c r="C25" s="44">
        <f>'свод '!C36</f>
        <v>1593288</v>
      </c>
      <c r="D25" s="44">
        <f>B25-C25</f>
        <v>0</v>
      </c>
      <c r="H25" s="38">
        <f>IF(H$24&lt;=0,0,ROUND($B25/($H$24+$I$24+$J$24+$K$24),2))</f>
        <v>2470.21</v>
      </c>
      <c r="I25" s="38">
        <f>IF(I$24&lt;=0,0,ROUND($B25/($H$24+$I$24+$J$24+$K$24),2))</f>
        <v>2470.21</v>
      </c>
      <c r="J25" s="38">
        <f>IF(J$24&lt;=0,0,ROUND($B25/($H$24+$I$24+$J$24+$K$24),2))</f>
        <v>2470.21</v>
      </c>
      <c r="K25" s="38">
        <f>IF(K$24&lt;=0,0,ROUND($B25/($H$24+$I$24+$J$24+$K$24),2))</f>
        <v>2470.21</v>
      </c>
    </row>
    <row r="26" spans="1:16" ht="14.1" customHeight="1">
      <c r="A26" s="39">
        <v>212</v>
      </c>
      <c r="B26" s="56">
        <v>2400</v>
      </c>
      <c r="C26" s="44">
        <f>'свод '!C29</f>
        <v>2400</v>
      </c>
      <c r="D26" s="44">
        <f>B26-C26</f>
        <v>0</v>
      </c>
      <c r="H26" s="38">
        <f t="shared" ref="H26:K33" si="5">IF(H$24&lt;=0,0,ROUND($B26/($H$24+$I$24+$J$24+$K$24),2))</f>
        <v>3.72</v>
      </c>
      <c r="I26" s="38">
        <f t="shared" si="5"/>
        <v>3.72</v>
      </c>
      <c r="J26" s="38">
        <f t="shared" si="5"/>
        <v>3.72</v>
      </c>
      <c r="K26" s="38">
        <f t="shared" si="5"/>
        <v>3.72</v>
      </c>
    </row>
    <row r="27" spans="1:16" ht="14.1" customHeight="1">
      <c r="A27" s="39">
        <v>213</v>
      </c>
      <c r="B27" s="56">
        <v>481173</v>
      </c>
      <c r="C27" s="44">
        <f>'свод '!C37</f>
        <v>481173</v>
      </c>
      <c r="D27" s="44">
        <f>B27-C27</f>
        <v>0</v>
      </c>
      <c r="H27" s="38">
        <f t="shared" si="5"/>
        <v>746</v>
      </c>
      <c r="I27" s="38">
        <f t="shared" si="5"/>
        <v>746</v>
      </c>
      <c r="J27" s="38">
        <f t="shared" si="5"/>
        <v>746</v>
      </c>
      <c r="K27" s="38">
        <f t="shared" si="5"/>
        <v>746</v>
      </c>
    </row>
    <row r="28" spans="1:16" ht="14.1" customHeight="1">
      <c r="A28" s="39">
        <v>221</v>
      </c>
      <c r="B28" s="56">
        <v>46370</v>
      </c>
      <c r="C28" s="44">
        <f>'свод '!C72</f>
        <v>46370</v>
      </c>
      <c r="D28" s="44">
        <f t="shared" si="0"/>
        <v>0</v>
      </c>
      <c r="H28" s="38">
        <f t="shared" si="5"/>
        <v>71.89</v>
      </c>
      <c r="I28" s="38">
        <f t="shared" si="5"/>
        <v>71.89</v>
      </c>
      <c r="J28" s="38">
        <f t="shared" si="5"/>
        <v>71.89</v>
      </c>
      <c r="K28" s="38">
        <f t="shared" si="5"/>
        <v>71.89</v>
      </c>
    </row>
    <row r="29" spans="1:16" ht="14.1" customHeight="1">
      <c r="A29" s="39">
        <v>223</v>
      </c>
      <c r="B29" s="55">
        <v>2812121</v>
      </c>
      <c r="C29" s="44">
        <f>'свод '!C116+'свод '!C124+'свод '!C125</f>
        <v>2812121</v>
      </c>
      <c r="D29" s="44">
        <f t="shared" si="0"/>
        <v>0</v>
      </c>
      <c r="H29" s="38">
        <f t="shared" si="5"/>
        <v>4359.88</v>
      </c>
      <c r="I29" s="38">
        <f t="shared" si="5"/>
        <v>4359.88</v>
      </c>
      <c r="J29" s="38">
        <f t="shared" si="5"/>
        <v>4359.88</v>
      </c>
      <c r="K29" s="38">
        <f t="shared" si="5"/>
        <v>4359.88</v>
      </c>
    </row>
    <row r="30" spans="1:16" ht="14.1" customHeight="1">
      <c r="A30" s="39">
        <v>225</v>
      </c>
      <c r="B30" s="55">
        <v>386626</v>
      </c>
      <c r="C30" s="44">
        <f>'свод '!C42+'свод '!C43+'свод '!C44+'свод '!C45+'свод '!C49+'свод '!C51+'свод '!C52+'свод '!C53+'свод '!C54+'свод '!C55+'свод '!C57+'свод '!C59+'свод '!C60+'свод '!C61+'свод '!C64+'свод '!C56+'свод '!C58</f>
        <v>386626</v>
      </c>
      <c r="D30" s="44">
        <f t="shared" si="0"/>
        <v>0</v>
      </c>
      <c r="H30" s="38">
        <f t="shared" si="5"/>
        <v>599.41999999999996</v>
      </c>
      <c r="I30" s="38">
        <f t="shared" si="5"/>
        <v>599.41999999999996</v>
      </c>
      <c r="J30" s="38">
        <f t="shared" si="5"/>
        <v>599.41999999999996</v>
      </c>
      <c r="K30" s="38">
        <f t="shared" si="5"/>
        <v>599.41999999999996</v>
      </c>
    </row>
    <row r="31" spans="1:16" ht="14.1" customHeight="1">
      <c r="A31" s="39">
        <v>226</v>
      </c>
      <c r="B31" s="55">
        <v>263739</v>
      </c>
      <c r="C31" s="44">
        <f>'свод '!C62+'свод '!C63+'свод '!C79+'свод '!C80+'свод '!C81+'свод '!C82+'свод '!C83+'свод '!C84+'свод '!C85</f>
        <v>263739</v>
      </c>
      <c r="D31" s="44">
        <f>B31-C31</f>
        <v>0</v>
      </c>
      <c r="H31" s="38">
        <f t="shared" si="5"/>
        <v>408.9</v>
      </c>
      <c r="I31" s="38">
        <f t="shared" si="5"/>
        <v>408.9</v>
      </c>
      <c r="J31" s="38">
        <f t="shared" si="5"/>
        <v>408.9</v>
      </c>
      <c r="K31" s="38">
        <f t="shared" si="5"/>
        <v>408.9</v>
      </c>
    </row>
    <row r="32" spans="1:16" ht="14.1" customHeight="1">
      <c r="A32" s="39">
        <v>290</v>
      </c>
      <c r="B32" s="55">
        <v>399633</v>
      </c>
      <c r="C32" s="44">
        <f>'свод '!C127-'свод '!C124-'свод '!C125</f>
        <v>399633</v>
      </c>
      <c r="D32" s="44">
        <f t="shared" si="0"/>
        <v>0</v>
      </c>
      <c r="H32" s="38">
        <f t="shared" si="5"/>
        <v>619.59</v>
      </c>
      <c r="I32" s="38">
        <f t="shared" si="5"/>
        <v>619.59</v>
      </c>
      <c r="J32" s="38">
        <f t="shared" si="5"/>
        <v>619.59</v>
      </c>
      <c r="K32" s="38">
        <f t="shared" si="5"/>
        <v>619.59</v>
      </c>
    </row>
    <row r="33" spans="1:11" ht="14.1" customHeight="1">
      <c r="A33" s="39">
        <v>340</v>
      </c>
      <c r="B33" s="56">
        <v>129000</v>
      </c>
      <c r="C33" s="44">
        <f>'свод '!C78+'свод '!C97+'свод '!C98+'свод '!C99+'свод '!C100</f>
        <v>129000</v>
      </c>
      <c r="D33" s="44">
        <f t="shared" si="0"/>
        <v>0</v>
      </c>
      <c r="H33" s="38">
        <f t="shared" si="5"/>
        <v>200</v>
      </c>
      <c r="I33" s="38">
        <f t="shared" si="5"/>
        <v>200</v>
      </c>
      <c r="J33" s="38">
        <f t="shared" si="5"/>
        <v>200</v>
      </c>
      <c r="K33" s="38">
        <f t="shared" si="5"/>
        <v>200</v>
      </c>
    </row>
    <row r="34" spans="1:11" ht="25.5">
      <c r="G34" s="52" t="s">
        <v>121</v>
      </c>
      <c r="H34" s="47">
        <f>SUM(H25:H33)</f>
        <v>9479.6099999999988</v>
      </c>
      <c r="I34" s="47">
        <f>SUM(I25:I33)</f>
        <v>9479.6099999999988</v>
      </c>
      <c r="J34" s="47">
        <f>SUM(J25:J33)</f>
        <v>9479.6099999999988</v>
      </c>
      <c r="K34" s="47">
        <f>SUM(K25:K33)</f>
        <v>9479.6099999999988</v>
      </c>
    </row>
    <row r="35" spans="1:11">
      <c r="C35" s="256"/>
    </row>
    <row r="38" spans="1:11">
      <c r="A38" s="38" t="s">
        <v>355</v>
      </c>
      <c r="C38" s="336"/>
      <c r="D38" s="38" t="s">
        <v>356</v>
      </c>
    </row>
    <row r="40" spans="1:11">
      <c r="A40" s="38" t="s">
        <v>260</v>
      </c>
      <c r="C40" s="336"/>
      <c r="D40" s="38" t="s">
        <v>357</v>
      </c>
    </row>
  </sheetData>
  <mergeCells count="12">
    <mergeCell ref="M13:N13"/>
    <mergeCell ref="O13:P13"/>
    <mergeCell ref="A2:D2"/>
    <mergeCell ref="G8:K8"/>
    <mergeCell ref="H22:I22"/>
    <mergeCell ref="J22:K22"/>
    <mergeCell ref="H21:K21"/>
    <mergeCell ref="I10:J10"/>
    <mergeCell ref="L10:M10"/>
    <mergeCell ref="N10:O10"/>
    <mergeCell ref="M22:N22"/>
    <mergeCell ref="O22:P22"/>
  </mergeCells>
  <pageMargins left="0.7" right="0.7" top="0.75" bottom="0.75" header="0.3" footer="0.3"/>
  <pageSetup paperSize="9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40"/>
  <sheetViews>
    <sheetView zoomScaleSheetLayoutView="100" workbookViewId="0">
      <selection activeCell="I43" sqref="I43"/>
    </sheetView>
  </sheetViews>
  <sheetFormatPr defaultRowHeight="12.75"/>
  <cols>
    <col min="1" max="1" width="12.140625" style="38" customWidth="1"/>
    <col min="2" max="2" width="15.5703125" style="38" customWidth="1"/>
    <col min="3" max="3" width="18.140625" style="38" hidden="1" customWidth="1"/>
    <col min="4" max="4" width="15.140625" style="38" hidden="1" customWidth="1"/>
    <col min="5" max="6" width="9.140625" style="38"/>
    <col min="7" max="7" width="12.42578125" style="38" customWidth="1"/>
    <col min="8" max="8" width="13.5703125" style="38" customWidth="1"/>
    <col min="9" max="9" width="12" style="38" customWidth="1"/>
    <col min="10" max="10" width="13.7109375" style="38" customWidth="1"/>
    <col min="11" max="11" width="9.140625" style="38"/>
    <col min="12" max="15" width="14.7109375" style="38" customWidth="1"/>
    <col min="16" max="16" width="15.140625" style="38" customWidth="1"/>
    <col min="17" max="16384" width="9.140625" style="38"/>
  </cols>
  <sheetData>
    <row r="2" spans="1:16" ht="18">
      <c r="A2" s="420" t="s">
        <v>112</v>
      </c>
      <c r="B2" s="420"/>
      <c r="C2" s="420"/>
      <c r="D2" s="420"/>
    </row>
    <row r="3" spans="1:16">
      <c r="H3" s="38" t="s">
        <v>118</v>
      </c>
    </row>
    <row r="4" spans="1:16">
      <c r="G4" s="38" t="s">
        <v>115</v>
      </c>
      <c r="H4" s="38">
        <v>50492.21</v>
      </c>
    </row>
    <row r="5" spans="1:16">
      <c r="G5" s="38" t="s">
        <v>117</v>
      </c>
      <c r="H5" s="38">
        <v>6977.98</v>
      </c>
    </row>
    <row r="6" spans="1:16" ht="38.25">
      <c r="G6" s="49" t="s">
        <v>119</v>
      </c>
      <c r="H6" s="38">
        <v>37.35</v>
      </c>
    </row>
    <row r="8" spans="1:16" ht="29.25" customHeight="1">
      <c r="G8" s="421" t="s">
        <v>122</v>
      </c>
      <c r="H8" s="421"/>
      <c r="I8" s="421"/>
      <c r="J8" s="421"/>
      <c r="K8" s="421"/>
    </row>
    <row r="9" spans="1:16">
      <c r="G9" s="326"/>
      <c r="H9" s="326"/>
      <c r="K9" s="326"/>
    </row>
    <row r="10" spans="1:16">
      <c r="G10" s="326"/>
      <c r="H10" s="326"/>
      <c r="I10" s="422" t="s">
        <v>123</v>
      </c>
      <c r="J10" s="423"/>
      <c r="K10" s="326"/>
      <c r="L10" s="422" t="s">
        <v>336</v>
      </c>
      <c r="M10" s="423"/>
      <c r="N10" s="422" t="s">
        <v>337</v>
      </c>
      <c r="O10" s="423"/>
    </row>
    <row r="11" spans="1:16">
      <c r="H11" s="48"/>
      <c r="I11" s="39" t="s">
        <v>118</v>
      </c>
      <c r="J11" s="39" t="s">
        <v>120</v>
      </c>
      <c r="L11" s="39" t="s">
        <v>118</v>
      </c>
      <c r="M11" s="39" t="s">
        <v>120</v>
      </c>
      <c r="N11" s="39" t="s">
        <v>118</v>
      </c>
      <c r="O11" s="39" t="s">
        <v>120</v>
      </c>
    </row>
    <row r="12" spans="1:16">
      <c r="A12" s="39" t="s">
        <v>113</v>
      </c>
      <c r="B12" s="39" t="s">
        <v>114</v>
      </c>
      <c r="C12" s="39" t="s">
        <v>115</v>
      </c>
      <c r="D12" s="39" t="s">
        <v>116</v>
      </c>
      <c r="G12" s="38" t="s">
        <v>335</v>
      </c>
      <c r="I12" s="54">
        <f>ROUND((L12*8+N12*4)/12,0)</f>
        <v>116</v>
      </c>
      <c r="J12" s="54">
        <f>ROUND((M12*8+O12*4)/12,0)</f>
        <v>554</v>
      </c>
      <c r="L12" s="319">
        <v>116</v>
      </c>
      <c r="M12" s="319">
        <v>554</v>
      </c>
      <c r="N12" s="319">
        <v>116</v>
      </c>
      <c r="O12" s="319">
        <v>554</v>
      </c>
    </row>
    <row r="13" spans="1:16" ht="26.25" customHeight="1">
      <c r="A13" s="40"/>
      <c r="B13" s="41">
        <f>B14+B24</f>
        <v>40076214</v>
      </c>
      <c r="C13" s="41">
        <f>C14+C24</f>
        <v>0</v>
      </c>
      <c r="D13" s="41">
        <f>D14+D24</f>
        <v>0</v>
      </c>
      <c r="M13" s="419"/>
      <c r="N13" s="419"/>
      <c r="O13" s="419"/>
      <c r="P13" s="419"/>
    </row>
    <row r="14" spans="1:16" s="43" customFormat="1" ht="14.1" customHeight="1">
      <c r="A14" s="43" t="s">
        <v>125</v>
      </c>
      <c r="B14" s="41">
        <f>SUM(B15:B18)</f>
        <v>33970934</v>
      </c>
      <c r="C14" s="41">
        <f>SUM(C15:C18)</f>
        <v>0</v>
      </c>
      <c r="D14" s="41">
        <f>SUM(D15:D18)</f>
        <v>0</v>
      </c>
      <c r="E14" s="42"/>
      <c r="F14" s="42"/>
      <c r="G14" s="42"/>
      <c r="H14" s="42"/>
      <c r="M14" s="90"/>
      <c r="N14" s="90"/>
      <c r="O14" s="90"/>
      <c r="P14" s="90"/>
    </row>
    <row r="15" spans="1:16" ht="14.1" customHeight="1">
      <c r="A15" s="39">
        <v>211</v>
      </c>
      <c r="B15" s="55">
        <v>25908715</v>
      </c>
      <c r="C15" s="44"/>
      <c r="D15" s="44"/>
      <c r="G15" s="47"/>
      <c r="H15" s="50"/>
      <c r="I15" s="47">
        <f>ROUND(B15/($I$12+$J$12),2)</f>
        <v>38669.72</v>
      </c>
      <c r="J15" s="47">
        <f>ROUND(B15/($I$12+$J$12),2)</f>
        <v>38669.72</v>
      </c>
      <c r="M15" s="47"/>
      <c r="N15" s="47"/>
      <c r="O15" s="47"/>
      <c r="P15" s="47"/>
    </row>
    <row r="16" spans="1:16" ht="14.1" customHeight="1">
      <c r="A16" s="39">
        <v>213</v>
      </c>
      <c r="B16" s="55">
        <v>7824433</v>
      </c>
      <c r="C16" s="44"/>
      <c r="D16" s="44"/>
      <c r="G16" s="47"/>
      <c r="H16" s="50"/>
      <c r="I16" s="47">
        <f t="shared" ref="I16:I18" si="0">ROUND(B16/($I$12+$J$12),2)</f>
        <v>11678.26</v>
      </c>
      <c r="J16" s="47">
        <f t="shared" ref="J16:J18" si="1">ROUND(B16/($I$12+$J$12),2)</f>
        <v>11678.26</v>
      </c>
      <c r="N16" s="47"/>
      <c r="P16" s="47"/>
    </row>
    <row r="17" spans="1:16" ht="14.1" customHeight="1">
      <c r="A17" s="39">
        <v>226</v>
      </c>
      <c r="B17" s="55">
        <v>24726</v>
      </c>
      <c r="C17" s="44"/>
      <c r="D17" s="44"/>
      <c r="G17" s="47"/>
      <c r="H17" s="50"/>
      <c r="I17" s="47">
        <f t="shared" si="0"/>
        <v>36.9</v>
      </c>
      <c r="J17" s="47">
        <f t="shared" si="1"/>
        <v>36.9</v>
      </c>
    </row>
    <row r="18" spans="1:16" ht="14.1" customHeight="1">
      <c r="A18" s="39">
        <v>340</v>
      </c>
      <c r="B18" s="55">
        <v>213060</v>
      </c>
      <c r="C18" s="44"/>
      <c r="D18" s="44"/>
      <c r="G18" s="47"/>
      <c r="H18" s="50"/>
      <c r="I18" s="47">
        <f t="shared" si="0"/>
        <v>318</v>
      </c>
      <c r="J18" s="47">
        <f t="shared" si="1"/>
        <v>318</v>
      </c>
    </row>
    <row r="19" spans="1:16" ht="14.1" customHeight="1">
      <c r="A19" s="39"/>
      <c r="B19" s="46"/>
      <c r="C19" s="44"/>
      <c r="D19" s="44"/>
      <c r="G19" s="38" t="s">
        <v>121</v>
      </c>
      <c r="I19" s="47">
        <f>SUM(I15:I18)</f>
        <v>50702.880000000005</v>
      </c>
      <c r="J19" s="47">
        <f>SUM(J15:J18)</f>
        <v>50702.880000000005</v>
      </c>
    </row>
    <row r="20" spans="1:16" ht="14.1" customHeight="1">
      <c r="A20" s="39"/>
      <c r="B20" s="46"/>
      <c r="C20" s="44"/>
      <c r="D20" s="44"/>
    </row>
    <row r="21" spans="1:16" ht="14.1" customHeight="1">
      <c r="A21" s="39"/>
      <c r="B21" s="46"/>
      <c r="C21" s="44"/>
      <c r="D21" s="44"/>
      <c r="H21" s="424" t="s">
        <v>110</v>
      </c>
      <c r="I21" s="424"/>
      <c r="J21" s="424"/>
      <c r="K21" s="424"/>
    </row>
    <row r="22" spans="1:16" ht="14.1" customHeight="1">
      <c r="A22" s="39"/>
      <c r="B22" s="46"/>
      <c r="C22" s="44"/>
      <c r="D22" s="44"/>
      <c r="H22" s="422" t="s">
        <v>123</v>
      </c>
      <c r="I22" s="423"/>
      <c r="J22" s="422" t="s">
        <v>124</v>
      </c>
      <c r="K22" s="423"/>
      <c r="M22" s="422" t="s">
        <v>338</v>
      </c>
      <c r="N22" s="423"/>
      <c r="O22" s="422" t="s">
        <v>339</v>
      </c>
      <c r="P22" s="423"/>
    </row>
    <row r="23" spans="1:16" ht="14.1" customHeight="1">
      <c r="A23" s="39"/>
      <c r="B23" s="45"/>
      <c r="C23" s="44"/>
      <c r="D23" s="44"/>
      <c r="H23" s="39" t="s">
        <v>118</v>
      </c>
      <c r="I23" s="39" t="s">
        <v>120</v>
      </c>
      <c r="J23" s="39" t="s">
        <v>118</v>
      </c>
      <c r="K23" s="39" t="s">
        <v>120</v>
      </c>
      <c r="M23" s="39" t="s">
        <v>118</v>
      </c>
      <c r="N23" s="39" t="s">
        <v>120</v>
      </c>
      <c r="O23" s="39" t="s">
        <v>118</v>
      </c>
      <c r="P23" s="39" t="s">
        <v>120</v>
      </c>
    </row>
    <row r="24" spans="1:16" ht="14.1" customHeight="1">
      <c r="A24" s="40" t="s">
        <v>126</v>
      </c>
      <c r="B24" s="53">
        <f>SUM(B25:B33)</f>
        <v>6105280</v>
      </c>
      <c r="C24" s="53"/>
      <c r="D24" s="53"/>
      <c r="H24" s="54">
        <f>I12-J24</f>
        <v>115</v>
      </c>
      <c r="I24" s="54">
        <f>J12-K24</f>
        <v>553</v>
      </c>
      <c r="J24" s="54">
        <f>ROUND((M24*8+O24*4)/12,0)</f>
        <v>1</v>
      </c>
      <c r="K24" s="54">
        <f>ROUND((N24*8+P24*4)/12,0)</f>
        <v>1</v>
      </c>
      <c r="M24" s="319">
        <v>1</v>
      </c>
      <c r="N24" s="319">
        <v>1</v>
      </c>
      <c r="O24" s="319">
        <v>1</v>
      </c>
      <c r="P24" s="319">
        <v>1</v>
      </c>
    </row>
    <row r="25" spans="1:16" ht="14.1" customHeight="1">
      <c r="A25" s="39">
        <v>211</v>
      </c>
      <c r="B25" s="56">
        <v>1593288</v>
      </c>
      <c r="C25" s="44"/>
      <c r="D25" s="44"/>
      <c r="H25" s="38">
        <f>IF(H$24&lt;=0,0,ROUND($B25/($H$24+$I$24+$J$24+$K$24),2))</f>
        <v>2378.04</v>
      </c>
      <c r="I25" s="38">
        <f>IF(I$24&lt;=0,0,ROUND($B25/($H$24+$I$24+$J$24+$K$24),2))</f>
        <v>2378.04</v>
      </c>
      <c r="J25" s="38">
        <f>IF(J$24&lt;=0,0,ROUND($B25/($H$24+$I$24+$J$24+$K$24),2))</f>
        <v>2378.04</v>
      </c>
      <c r="K25" s="38">
        <f>IF(K$24&lt;=0,0,ROUND($B25/($H$24+$I$24+$J$24+$K$24),2))</f>
        <v>2378.04</v>
      </c>
    </row>
    <row r="26" spans="1:16" ht="14.1" customHeight="1">
      <c r="A26" s="39">
        <v>212</v>
      </c>
      <c r="B26" s="56">
        <v>2400</v>
      </c>
      <c r="C26" s="44"/>
      <c r="D26" s="44"/>
      <c r="H26" s="38">
        <f t="shared" ref="H26:K33" si="2">IF(H$24&lt;=0,0,ROUND($B26/($H$24+$I$24+$J$24+$K$24),2))</f>
        <v>3.58</v>
      </c>
      <c r="I26" s="38">
        <f t="shared" si="2"/>
        <v>3.58</v>
      </c>
      <c r="J26" s="38">
        <f t="shared" si="2"/>
        <v>3.58</v>
      </c>
      <c r="K26" s="38">
        <f t="shared" si="2"/>
        <v>3.58</v>
      </c>
    </row>
    <row r="27" spans="1:16" ht="14.1" customHeight="1">
      <c r="A27" s="39">
        <v>213</v>
      </c>
      <c r="B27" s="56">
        <v>481173</v>
      </c>
      <c r="C27" s="44"/>
      <c r="D27" s="44"/>
      <c r="H27" s="38">
        <f t="shared" si="2"/>
        <v>718.17</v>
      </c>
      <c r="I27" s="38">
        <f t="shared" si="2"/>
        <v>718.17</v>
      </c>
      <c r="J27" s="38">
        <f t="shared" si="2"/>
        <v>718.17</v>
      </c>
      <c r="K27" s="38">
        <f t="shared" si="2"/>
        <v>718.17</v>
      </c>
    </row>
    <row r="28" spans="1:16" ht="14.1" customHeight="1">
      <c r="A28" s="39">
        <v>221</v>
      </c>
      <c r="B28" s="56">
        <v>46370</v>
      </c>
      <c r="C28" s="44"/>
      <c r="D28" s="44"/>
      <c r="H28" s="38">
        <f t="shared" si="2"/>
        <v>69.209999999999994</v>
      </c>
      <c r="I28" s="38">
        <f t="shared" si="2"/>
        <v>69.209999999999994</v>
      </c>
      <c r="J28" s="38">
        <f t="shared" si="2"/>
        <v>69.209999999999994</v>
      </c>
      <c r="K28" s="38">
        <f t="shared" si="2"/>
        <v>69.209999999999994</v>
      </c>
    </row>
    <row r="29" spans="1:16" ht="14.1" customHeight="1">
      <c r="A29" s="39">
        <v>223</v>
      </c>
      <c r="B29" s="55">
        <v>2812121</v>
      </c>
      <c r="C29" s="44"/>
      <c r="D29" s="44"/>
      <c r="H29" s="38">
        <f t="shared" si="2"/>
        <v>4197.2</v>
      </c>
      <c r="I29" s="38">
        <f t="shared" si="2"/>
        <v>4197.2</v>
      </c>
      <c r="J29" s="38">
        <f t="shared" si="2"/>
        <v>4197.2</v>
      </c>
      <c r="K29" s="38">
        <f t="shared" si="2"/>
        <v>4197.2</v>
      </c>
    </row>
    <row r="30" spans="1:16" ht="14.1" customHeight="1">
      <c r="A30" s="39">
        <v>225</v>
      </c>
      <c r="B30" s="55">
        <v>386626</v>
      </c>
      <c r="C30" s="44"/>
      <c r="D30" s="44"/>
      <c r="H30" s="38">
        <f t="shared" si="2"/>
        <v>577.04999999999995</v>
      </c>
      <c r="I30" s="38">
        <f t="shared" si="2"/>
        <v>577.04999999999995</v>
      </c>
      <c r="J30" s="38">
        <f t="shared" si="2"/>
        <v>577.04999999999995</v>
      </c>
      <c r="K30" s="38">
        <f t="shared" si="2"/>
        <v>577.04999999999995</v>
      </c>
    </row>
    <row r="31" spans="1:16" ht="14.1" customHeight="1">
      <c r="A31" s="39">
        <v>226</v>
      </c>
      <c r="B31" s="55">
        <v>263739</v>
      </c>
      <c r="C31" s="44"/>
      <c r="D31" s="44"/>
      <c r="H31" s="38">
        <f t="shared" si="2"/>
        <v>393.64</v>
      </c>
      <c r="I31" s="38">
        <f t="shared" si="2"/>
        <v>393.64</v>
      </c>
      <c r="J31" s="38">
        <f t="shared" si="2"/>
        <v>393.64</v>
      </c>
      <c r="K31" s="38">
        <f t="shared" si="2"/>
        <v>393.64</v>
      </c>
    </row>
    <row r="32" spans="1:16" ht="14.1" customHeight="1">
      <c r="A32" s="39">
        <v>290</v>
      </c>
      <c r="B32" s="55">
        <v>399633</v>
      </c>
      <c r="C32" s="44"/>
      <c r="D32" s="44"/>
      <c r="H32" s="38">
        <f t="shared" si="2"/>
        <v>596.47</v>
      </c>
      <c r="I32" s="38">
        <f t="shared" si="2"/>
        <v>596.47</v>
      </c>
      <c r="J32" s="38">
        <f t="shared" si="2"/>
        <v>596.47</v>
      </c>
      <c r="K32" s="38">
        <f t="shared" si="2"/>
        <v>596.47</v>
      </c>
    </row>
    <row r="33" spans="1:11" ht="14.1" customHeight="1">
      <c r="A33" s="39">
        <v>340</v>
      </c>
      <c r="B33" s="56">
        <v>119930</v>
      </c>
      <c r="C33" s="44"/>
      <c r="D33" s="44"/>
      <c r="H33" s="38">
        <f t="shared" si="2"/>
        <v>179</v>
      </c>
      <c r="I33" s="38">
        <f t="shared" si="2"/>
        <v>179</v>
      </c>
      <c r="J33" s="38">
        <f t="shared" si="2"/>
        <v>179</v>
      </c>
      <c r="K33" s="38">
        <f t="shared" si="2"/>
        <v>179</v>
      </c>
    </row>
    <row r="34" spans="1:11" ht="25.5">
      <c r="G34" s="52" t="s">
        <v>121</v>
      </c>
      <c r="H34" s="47">
        <f>SUM(H25:H33)</f>
        <v>9112.3599999999988</v>
      </c>
      <c r="I34" s="47">
        <f>SUM(I25:I33)</f>
        <v>9112.3599999999988</v>
      </c>
      <c r="J34" s="47">
        <f>SUM(J25:J33)</f>
        <v>9112.3599999999988</v>
      </c>
      <c r="K34" s="47">
        <f>SUM(K25:K33)</f>
        <v>9112.3599999999988</v>
      </c>
    </row>
    <row r="35" spans="1:11">
      <c r="C35" s="256"/>
    </row>
    <row r="38" spans="1:11">
      <c r="A38" s="38" t="s">
        <v>355</v>
      </c>
      <c r="C38" s="336"/>
      <c r="D38" s="38" t="s">
        <v>356</v>
      </c>
      <c r="E38" s="336"/>
      <c r="F38" s="336"/>
    </row>
    <row r="40" spans="1:11">
      <c r="A40" s="38" t="s">
        <v>260</v>
      </c>
      <c r="C40" s="336"/>
      <c r="D40" s="38" t="s">
        <v>357</v>
      </c>
      <c r="E40" s="336"/>
      <c r="F40" s="336"/>
    </row>
  </sheetData>
  <mergeCells count="12">
    <mergeCell ref="M13:N13"/>
    <mergeCell ref="O13:P13"/>
    <mergeCell ref="A2:D2"/>
    <mergeCell ref="G8:K8"/>
    <mergeCell ref="I10:J10"/>
    <mergeCell ref="L10:M10"/>
    <mergeCell ref="N10:O10"/>
    <mergeCell ref="H21:K21"/>
    <mergeCell ref="H22:I22"/>
    <mergeCell ref="J22:K22"/>
    <mergeCell ref="M22:N22"/>
    <mergeCell ref="O22:P22"/>
  </mergeCells>
  <pageMargins left="0.7" right="0.7" top="0.75" bottom="0.75" header="0.3" footer="0.3"/>
  <pageSetup paperSize="9" orientation="portrait" r:id="rId1"/>
  <colBreaks count="2" manualBreakCount="2">
    <brk id="6" max="1048575" man="1"/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40"/>
  <sheetViews>
    <sheetView zoomScaleSheetLayoutView="100" workbookViewId="0">
      <selection activeCell="M8" sqref="M8"/>
    </sheetView>
  </sheetViews>
  <sheetFormatPr defaultRowHeight="12.75"/>
  <cols>
    <col min="1" max="1" width="12.140625" style="38" customWidth="1"/>
    <col min="2" max="2" width="15.5703125" style="38" customWidth="1"/>
    <col min="3" max="3" width="18.140625" style="38" hidden="1" customWidth="1"/>
    <col min="4" max="4" width="15.140625" style="38" hidden="1" customWidth="1"/>
    <col min="5" max="6" width="9.140625" style="38"/>
    <col min="7" max="7" width="12.42578125" style="38" customWidth="1"/>
    <col min="8" max="8" width="13.5703125" style="38" customWidth="1"/>
    <col min="9" max="9" width="12" style="38" customWidth="1"/>
    <col min="10" max="10" width="13.7109375" style="38" customWidth="1"/>
    <col min="11" max="11" width="9.140625" style="38"/>
    <col min="12" max="15" width="14.7109375" style="38" customWidth="1"/>
    <col min="16" max="16" width="15.140625" style="38" customWidth="1"/>
    <col min="17" max="16384" width="9.140625" style="38"/>
  </cols>
  <sheetData>
    <row r="2" spans="1:16" ht="18">
      <c r="A2" s="420" t="s">
        <v>112</v>
      </c>
      <c r="B2" s="420"/>
      <c r="C2" s="420"/>
      <c r="D2" s="420"/>
    </row>
    <row r="3" spans="1:16">
      <c r="H3" s="38" t="s">
        <v>118</v>
      </c>
    </row>
    <row r="4" spans="1:16">
      <c r="G4" s="38" t="s">
        <v>115</v>
      </c>
      <c r="H4" s="38">
        <v>50492.21</v>
      </c>
    </row>
    <row r="5" spans="1:16">
      <c r="G5" s="38" t="s">
        <v>117</v>
      </c>
      <c r="H5" s="38">
        <v>6977.98</v>
      </c>
    </row>
    <row r="6" spans="1:16" ht="38.25">
      <c r="G6" s="49" t="s">
        <v>119</v>
      </c>
      <c r="H6" s="38">
        <v>37.35</v>
      </c>
    </row>
    <row r="8" spans="1:16" ht="29.25" customHeight="1">
      <c r="G8" s="421" t="s">
        <v>122</v>
      </c>
      <c r="H8" s="421"/>
      <c r="I8" s="421"/>
      <c r="J8" s="421"/>
      <c r="K8" s="421"/>
    </row>
    <row r="9" spans="1:16">
      <c r="G9" s="326"/>
      <c r="H9" s="326"/>
      <c r="K9" s="326"/>
    </row>
    <row r="10" spans="1:16">
      <c r="G10" s="326"/>
      <c r="H10" s="326"/>
      <c r="I10" s="422" t="s">
        <v>123</v>
      </c>
      <c r="J10" s="423"/>
      <c r="K10" s="326"/>
      <c r="L10" s="422" t="s">
        <v>341</v>
      </c>
      <c r="M10" s="423"/>
      <c r="N10" s="422" t="s">
        <v>342</v>
      </c>
      <c r="O10" s="423"/>
    </row>
    <row r="11" spans="1:16">
      <c r="H11" s="48"/>
      <c r="I11" s="39" t="s">
        <v>118</v>
      </c>
      <c r="J11" s="39" t="s">
        <v>120</v>
      </c>
      <c r="L11" s="39" t="s">
        <v>118</v>
      </c>
      <c r="M11" s="39" t="s">
        <v>120</v>
      </c>
      <c r="N11" s="39" t="s">
        <v>118</v>
      </c>
      <c r="O11" s="39" t="s">
        <v>120</v>
      </c>
    </row>
    <row r="12" spans="1:16">
      <c r="A12" s="39" t="s">
        <v>113</v>
      </c>
      <c r="B12" s="39" t="s">
        <v>114</v>
      </c>
      <c r="C12" s="39" t="s">
        <v>115</v>
      </c>
      <c r="D12" s="39" t="s">
        <v>116</v>
      </c>
      <c r="G12" s="38" t="s">
        <v>340</v>
      </c>
      <c r="I12" s="54">
        <f>ROUND((L12*8+N12*4)/12,0)</f>
        <v>116</v>
      </c>
      <c r="J12" s="54">
        <f>ROUND((M12*8+O12*4)/12,0)</f>
        <v>579</v>
      </c>
      <c r="L12" s="319">
        <v>116</v>
      </c>
      <c r="M12" s="319">
        <v>579</v>
      </c>
      <c r="N12" s="319">
        <v>116</v>
      </c>
      <c r="O12" s="319">
        <v>579</v>
      </c>
    </row>
    <row r="13" spans="1:16" ht="26.25" customHeight="1">
      <c r="A13" s="40"/>
      <c r="B13" s="41">
        <f>B14+B24</f>
        <v>41677421</v>
      </c>
      <c r="C13" s="41">
        <f>C14+C24</f>
        <v>0</v>
      </c>
      <c r="D13" s="41">
        <f>D14+D24</f>
        <v>0</v>
      </c>
      <c r="M13" s="419"/>
      <c r="N13" s="419"/>
      <c r="O13" s="419"/>
      <c r="P13" s="419"/>
    </row>
    <row r="14" spans="1:16" s="43" customFormat="1" ht="14.1" customHeight="1">
      <c r="A14" s="43" t="s">
        <v>125</v>
      </c>
      <c r="B14" s="41">
        <f>SUM(B15:B18)</f>
        <v>35593381</v>
      </c>
      <c r="C14" s="41">
        <f>SUM(C15:C18)</f>
        <v>0</v>
      </c>
      <c r="D14" s="41">
        <f>SUM(D15:D18)</f>
        <v>0</v>
      </c>
      <c r="E14" s="42"/>
      <c r="F14" s="42"/>
      <c r="G14" s="42"/>
      <c r="H14" s="42"/>
      <c r="M14" s="90"/>
      <c r="N14" s="90"/>
      <c r="O14" s="90"/>
      <c r="P14" s="90"/>
    </row>
    <row r="15" spans="1:16" ht="14.1" customHeight="1">
      <c r="A15" s="39">
        <v>211</v>
      </c>
      <c r="B15" s="55">
        <v>27148729</v>
      </c>
      <c r="C15" s="44"/>
      <c r="D15" s="44"/>
      <c r="G15" s="47"/>
      <c r="H15" s="50"/>
      <c r="I15" s="47">
        <f>ROUND(B15/($I$12+$J$12),2)</f>
        <v>39062.92</v>
      </c>
      <c r="J15" s="47">
        <f>ROUND(B15/($I$12+$J$12),2)</f>
        <v>39062.92</v>
      </c>
      <c r="M15" s="47"/>
      <c r="N15" s="47"/>
      <c r="O15" s="47"/>
      <c r="P15" s="47"/>
    </row>
    <row r="16" spans="1:16" ht="14.1" customHeight="1">
      <c r="A16" s="39">
        <v>213</v>
      </c>
      <c r="B16" s="55">
        <v>8198916</v>
      </c>
      <c r="C16" s="44"/>
      <c r="D16" s="44"/>
      <c r="G16" s="47"/>
      <c r="H16" s="50"/>
      <c r="I16" s="47">
        <f t="shared" ref="I16:I18" si="0">ROUND(B16/($I$12+$J$12),2)</f>
        <v>11797</v>
      </c>
      <c r="J16" s="47">
        <f t="shared" ref="J16:J18" si="1">ROUND(B16/($I$12+$J$12),2)</f>
        <v>11797</v>
      </c>
      <c r="N16" s="47"/>
      <c r="P16" s="47"/>
    </row>
    <row r="17" spans="1:16" ht="14.1" customHeight="1">
      <c r="A17" s="39">
        <v>226</v>
      </c>
      <c r="B17" s="55">
        <v>24726</v>
      </c>
      <c r="C17" s="44"/>
      <c r="D17" s="44"/>
      <c r="G17" s="47"/>
      <c r="H17" s="50"/>
      <c r="I17" s="47">
        <f t="shared" si="0"/>
        <v>35.58</v>
      </c>
      <c r="J17" s="47">
        <f t="shared" si="1"/>
        <v>35.58</v>
      </c>
    </row>
    <row r="18" spans="1:16" ht="14.1" customHeight="1">
      <c r="A18" s="39">
        <v>340</v>
      </c>
      <c r="B18" s="55">
        <v>221010</v>
      </c>
      <c r="C18" s="44"/>
      <c r="D18" s="44"/>
      <c r="G18" s="47"/>
      <c r="H18" s="50"/>
      <c r="I18" s="47">
        <f t="shared" si="0"/>
        <v>318</v>
      </c>
      <c r="J18" s="47">
        <f t="shared" si="1"/>
        <v>318</v>
      </c>
    </row>
    <row r="19" spans="1:16" ht="14.1" customHeight="1">
      <c r="A19" s="39"/>
      <c r="B19" s="46"/>
      <c r="C19" s="44"/>
      <c r="D19" s="44"/>
      <c r="G19" s="38" t="s">
        <v>121</v>
      </c>
      <c r="I19" s="47">
        <f>SUM(I15:I18)</f>
        <v>51213.5</v>
      </c>
      <c r="J19" s="47">
        <f>SUM(J15:J18)</f>
        <v>51213.5</v>
      </c>
    </row>
    <row r="20" spans="1:16" ht="14.1" customHeight="1">
      <c r="A20" s="39"/>
      <c r="B20" s="46"/>
      <c r="C20" s="44"/>
      <c r="D20" s="44"/>
    </row>
    <row r="21" spans="1:16" ht="14.1" customHeight="1">
      <c r="A21" s="39"/>
      <c r="B21" s="46"/>
      <c r="C21" s="44"/>
      <c r="D21" s="44"/>
      <c r="H21" s="424" t="s">
        <v>110</v>
      </c>
      <c r="I21" s="424"/>
      <c r="J21" s="424"/>
      <c r="K21" s="424"/>
    </row>
    <row r="22" spans="1:16" ht="14.1" customHeight="1">
      <c r="A22" s="39"/>
      <c r="B22" s="46"/>
      <c r="C22" s="44"/>
      <c r="D22" s="44"/>
      <c r="H22" s="422" t="s">
        <v>123</v>
      </c>
      <c r="I22" s="423"/>
      <c r="J22" s="422" t="s">
        <v>124</v>
      </c>
      <c r="K22" s="423"/>
      <c r="M22" s="422" t="s">
        <v>341</v>
      </c>
      <c r="N22" s="423"/>
      <c r="O22" s="422" t="s">
        <v>342</v>
      </c>
      <c r="P22" s="423"/>
    </row>
    <row r="23" spans="1:16" ht="14.1" customHeight="1">
      <c r="A23" s="39"/>
      <c r="B23" s="45"/>
      <c r="C23" s="44"/>
      <c r="D23" s="44"/>
      <c r="H23" s="39" t="s">
        <v>118</v>
      </c>
      <c r="I23" s="39" t="s">
        <v>120</v>
      </c>
      <c r="J23" s="39" t="s">
        <v>118</v>
      </c>
      <c r="K23" s="39" t="s">
        <v>120</v>
      </c>
      <c r="M23" s="39" t="s">
        <v>118</v>
      </c>
      <c r="N23" s="39" t="s">
        <v>120</v>
      </c>
      <c r="O23" s="39" t="s">
        <v>118</v>
      </c>
      <c r="P23" s="39" t="s">
        <v>120</v>
      </c>
    </row>
    <row r="24" spans="1:16" ht="14.1" customHeight="1">
      <c r="A24" s="40" t="s">
        <v>126</v>
      </c>
      <c r="B24" s="53">
        <f>SUM(B25:B33)</f>
        <v>6084040</v>
      </c>
      <c r="C24" s="53"/>
      <c r="D24" s="53"/>
      <c r="H24" s="54">
        <f>I12-J24</f>
        <v>115</v>
      </c>
      <c r="I24" s="54">
        <f>J12-K24</f>
        <v>578</v>
      </c>
      <c r="J24" s="54">
        <f>ROUND((M24*8+O24*4)/12,0)</f>
        <v>1</v>
      </c>
      <c r="K24" s="54">
        <f>ROUND((N24*8+P24*4)/12,0)</f>
        <v>1</v>
      </c>
      <c r="M24" s="319">
        <v>1</v>
      </c>
      <c r="N24" s="319">
        <v>1</v>
      </c>
      <c r="O24" s="319">
        <v>1</v>
      </c>
      <c r="P24" s="319">
        <v>1</v>
      </c>
    </row>
    <row r="25" spans="1:16" ht="14.1" customHeight="1">
      <c r="A25" s="39">
        <v>211</v>
      </c>
      <c r="B25" s="56">
        <v>1593288</v>
      </c>
      <c r="C25" s="44"/>
      <c r="D25" s="44"/>
      <c r="H25" s="38">
        <f>IF(H$24&lt;=0,0,ROUND($B25/($H$24+$I$24+$J$24+$K$24),2))</f>
        <v>2292.5</v>
      </c>
      <c r="I25" s="38">
        <f>IF(I$24&lt;=0,0,ROUND($B25/($H$24+$I$24+$J$24+$K$24),2))</f>
        <v>2292.5</v>
      </c>
      <c r="J25" s="38">
        <f>IF(J$24&lt;=0,0,ROUND($B25/($H$24+$I$24+$J$24+$K$24),2))</f>
        <v>2292.5</v>
      </c>
      <c r="K25" s="38">
        <f>IF(K$24&lt;=0,0,ROUND($B25/($H$24+$I$24+$J$24+$K$24),2))</f>
        <v>2292.5</v>
      </c>
    </row>
    <row r="26" spans="1:16" ht="14.1" customHeight="1">
      <c r="A26" s="39">
        <v>212</v>
      </c>
      <c r="B26" s="56">
        <v>2400</v>
      </c>
      <c r="C26" s="44"/>
      <c r="D26" s="44"/>
      <c r="H26" s="38">
        <f t="shared" ref="H26:K33" si="2">IF(H$24&lt;=0,0,ROUND($B26/($H$24+$I$24+$J$24+$K$24),2))</f>
        <v>3.45</v>
      </c>
      <c r="I26" s="38">
        <f t="shared" si="2"/>
        <v>3.45</v>
      </c>
      <c r="J26" s="38">
        <f t="shared" si="2"/>
        <v>3.45</v>
      </c>
      <c r="K26" s="38">
        <f t="shared" si="2"/>
        <v>3.45</v>
      </c>
    </row>
    <row r="27" spans="1:16" ht="14.1" customHeight="1">
      <c r="A27" s="39">
        <v>213</v>
      </c>
      <c r="B27" s="56">
        <v>481173</v>
      </c>
      <c r="C27" s="44"/>
      <c r="D27" s="44"/>
      <c r="H27" s="38">
        <f t="shared" si="2"/>
        <v>692.34</v>
      </c>
      <c r="I27" s="38">
        <f t="shared" si="2"/>
        <v>692.34</v>
      </c>
      <c r="J27" s="38">
        <f t="shared" si="2"/>
        <v>692.34</v>
      </c>
      <c r="K27" s="38">
        <f t="shared" si="2"/>
        <v>692.34</v>
      </c>
    </row>
    <row r="28" spans="1:16" ht="14.1" customHeight="1">
      <c r="A28" s="39">
        <v>221</v>
      </c>
      <c r="B28" s="56">
        <v>46370</v>
      </c>
      <c r="C28" s="44"/>
      <c r="D28" s="44"/>
      <c r="H28" s="38">
        <f t="shared" si="2"/>
        <v>66.72</v>
      </c>
      <c r="I28" s="38">
        <f t="shared" si="2"/>
        <v>66.72</v>
      </c>
      <c r="J28" s="38">
        <f t="shared" si="2"/>
        <v>66.72</v>
      </c>
      <c r="K28" s="38">
        <f t="shared" si="2"/>
        <v>66.72</v>
      </c>
    </row>
    <row r="29" spans="1:16" ht="14.1" customHeight="1">
      <c r="A29" s="39">
        <v>223</v>
      </c>
      <c r="B29" s="55">
        <v>2812121</v>
      </c>
      <c r="C29" s="44"/>
      <c r="D29" s="44"/>
      <c r="H29" s="38">
        <f t="shared" si="2"/>
        <v>4046.22</v>
      </c>
      <c r="I29" s="38">
        <f t="shared" si="2"/>
        <v>4046.22</v>
      </c>
      <c r="J29" s="38">
        <f t="shared" si="2"/>
        <v>4046.22</v>
      </c>
      <c r="K29" s="38">
        <f t="shared" si="2"/>
        <v>4046.22</v>
      </c>
    </row>
    <row r="30" spans="1:16" ht="14.1" customHeight="1">
      <c r="A30" s="39">
        <v>225</v>
      </c>
      <c r="B30" s="55">
        <v>386626</v>
      </c>
      <c r="C30" s="44"/>
      <c r="D30" s="44"/>
      <c r="H30" s="38">
        <f t="shared" si="2"/>
        <v>556.29999999999995</v>
      </c>
      <c r="I30" s="38">
        <f t="shared" si="2"/>
        <v>556.29999999999995</v>
      </c>
      <c r="J30" s="38">
        <f t="shared" si="2"/>
        <v>556.29999999999995</v>
      </c>
      <c r="K30" s="38">
        <f t="shared" si="2"/>
        <v>556.29999999999995</v>
      </c>
    </row>
    <row r="31" spans="1:16" ht="14.1" customHeight="1">
      <c r="A31" s="39">
        <v>226</v>
      </c>
      <c r="B31" s="55">
        <v>263739</v>
      </c>
      <c r="C31" s="44"/>
      <c r="D31" s="44"/>
      <c r="H31" s="38">
        <f t="shared" si="2"/>
        <v>379.48</v>
      </c>
      <c r="I31" s="38">
        <f t="shared" si="2"/>
        <v>379.48</v>
      </c>
      <c r="J31" s="38">
        <f t="shared" si="2"/>
        <v>379.48</v>
      </c>
      <c r="K31" s="38">
        <f t="shared" si="2"/>
        <v>379.48</v>
      </c>
    </row>
    <row r="32" spans="1:16" ht="14.1" customHeight="1">
      <c r="A32" s="39">
        <v>290</v>
      </c>
      <c r="B32" s="55">
        <v>399633</v>
      </c>
      <c r="C32" s="44"/>
      <c r="D32" s="44"/>
      <c r="H32" s="38">
        <f t="shared" si="2"/>
        <v>575.01</v>
      </c>
      <c r="I32" s="38">
        <f t="shared" si="2"/>
        <v>575.01</v>
      </c>
      <c r="J32" s="38">
        <f t="shared" si="2"/>
        <v>575.01</v>
      </c>
      <c r="K32" s="38">
        <f t="shared" si="2"/>
        <v>575.01</v>
      </c>
    </row>
    <row r="33" spans="1:11" ht="14.1" customHeight="1">
      <c r="A33" s="39">
        <v>340</v>
      </c>
      <c r="B33" s="56">
        <v>98690</v>
      </c>
      <c r="C33" s="44"/>
      <c r="D33" s="44"/>
      <c r="H33" s="38">
        <f t="shared" si="2"/>
        <v>142</v>
      </c>
      <c r="I33" s="38">
        <f t="shared" si="2"/>
        <v>142</v>
      </c>
      <c r="J33" s="38">
        <f t="shared" si="2"/>
        <v>142</v>
      </c>
      <c r="K33" s="38">
        <f t="shared" si="2"/>
        <v>142</v>
      </c>
    </row>
    <row r="34" spans="1:11" ht="25.5">
      <c r="G34" s="52" t="s">
        <v>121</v>
      </c>
      <c r="H34" s="47">
        <f>SUM(H25:H33)</f>
        <v>8754.02</v>
      </c>
      <c r="I34" s="47">
        <f>SUM(I25:I33)</f>
        <v>8754.02</v>
      </c>
      <c r="J34" s="47">
        <f>SUM(J25:J33)</f>
        <v>8754.02</v>
      </c>
      <c r="K34" s="47">
        <f>SUM(K25:K33)</f>
        <v>8754.02</v>
      </c>
    </row>
    <row r="35" spans="1:11">
      <c r="C35" s="256"/>
    </row>
    <row r="38" spans="1:11">
      <c r="A38" s="38" t="s">
        <v>355</v>
      </c>
      <c r="E38" s="336"/>
      <c r="F38" s="336"/>
    </row>
    <row r="40" spans="1:11">
      <c r="A40" s="38" t="s">
        <v>260</v>
      </c>
      <c r="E40" s="336"/>
      <c r="F40" s="336"/>
    </row>
  </sheetData>
  <mergeCells count="12">
    <mergeCell ref="M13:N13"/>
    <mergeCell ref="O13:P13"/>
    <mergeCell ref="A2:D2"/>
    <mergeCell ref="G8:K8"/>
    <mergeCell ref="I10:J10"/>
    <mergeCell ref="L10:M10"/>
    <mergeCell ref="N10:O10"/>
    <mergeCell ref="H21:K21"/>
    <mergeCell ref="H22:I22"/>
    <mergeCell ref="J22:K22"/>
    <mergeCell ref="M22:N22"/>
    <mergeCell ref="O22:P22"/>
  </mergeCells>
  <pageMargins left="0.7" right="0.7" top="0.75" bottom="0.75" header="0.3" footer="0.3"/>
  <pageSetup paperSize="9" orientation="portrait" r:id="rId1"/>
  <colBreaks count="2" manualBreakCount="2">
    <brk id="6" max="1048575" man="1"/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F73"/>
  <sheetViews>
    <sheetView view="pageBreakPreview" zoomScaleSheetLayoutView="100" workbookViewId="0">
      <selection activeCell="I50" sqref="I50"/>
    </sheetView>
  </sheetViews>
  <sheetFormatPr defaultRowHeight="12.75"/>
  <cols>
    <col min="1" max="1" width="2" style="38" bestFit="1" customWidth="1"/>
    <col min="2" max="2" width="15.5703125" style="38" customWidth="1"/>
    <col min="3" max="3" width="15.28515625" style="52" customWidth="1"/>
    <col min="4" max="4" width="14.7109375" style="52" customWidth="1"/>
    <col min="5" max="5" width="12.7109375" style="52" customWidth="1"/>
    <col min="6" max="6" width="11.7109375" style="52" customWidth="1"/>
    <col min="7" max="7" width="12.140625" style="52" customWidth="1"/>
    <col min="8" max="8" width="12" style="52" customWidth="1"/>
    <col min="9" max="9" width="12.85546875" style="52" customWidth="1"/>
    <col min="10" max="10" width="10.7109375" style="52" customWidth="1"/>
    <col min="11" max="11" width="18.28515625" style="52" bestFit="1" customWidth="1"/>
    <col min="12" max="12" width="10" style="52" customWidth="1"/>
    <col min="13" max="13" width="12.42578125" style="38" bestFit="1" customWidth="1"/>
    <col min="14" max="14" width="9.28515625" style="38" customWidth="1"/>
    <col min="15" max="15" width="9.28515625" style="38" bestFit="1" customWidth="1"/>
    <col min="16" max="16" width="9.140625" style="38"/>
    <col min="17" max="17" width="12.5703125" style="38" customWidth="1"/>
    <col min="18" max="16384" width="9.140625" style="38"/>
  </cols>
  <sheetData>
    <row r="1" spans="2:22">
      <c r="H1" s="430" t="s">
        <v>133</v>
      </c>
      <c r="I1" s="430"/>
    </row>
    <row r="2" spans="2:22" s="59" customFormat="1" ht="35.25" customHeight="1">
      <c r="B2" s="427" t="s">
        <v>256</v>
      </c>
      <c r="C2" s="427"/>
      <c r="D2" s="427"/>
      <c r="E2" s="427"/>
      <c r="F2" s="427"/>
      <c r="G2" s="427"/>
      <c r="H2" s="427"/>
      <c r="I2" s="155"/>
      <c r="J2" s="61"/>
      <c r="K2" s="61"/>
      <c r="L2" s="61"/>
    </row>
    <row r="3" spans="2:22" s="62" customFormat="1" ht="20.25" customHeight="1">
      <c r="C3" s="63"/>
      <c r="D3" s="63"/>
      <c r="E3" s="63"/>
      <c r="F3" s="63"/>
      <c r="G3" s="63"/>
      <c r="H3" s="433"/>
      <c r="I3" s="433"/>
      <c r="J3" s="64"/>
      <c r="K3" s="64"/>
      <c r="L3" s="64"/>
    </row>
    <row r="4" spans="2:22" s="62" customFormat="1" ht="54.75" customHeight="1">
      <c r="B4" s="426" t="s">
        <v>134</v>
      </c>
      <c r="C4" s="426"/>
      <c r="D4" s="426"/>
      <c r="E4" s="426"/>
      <c r="F4" s="426"/>
      <c r="G4" s="426"/>
      <c r="H4" s="426"/>
      <c r="I4" s="154"/>
      <c r="J4" s="64"/>
      <c r="K4" s="84">
        <f>15216487.33-G10</f>
        <v>2783346.9700000007</v>
      </c>
      <c r="L4" s="64"/>
    </row>
    <row r="5" spans="2:22" s="62" customFormat="1" ht="16.5" thickBot="1">
      <c r="B5" s="65"/>
      <c r="C5" s="65"/>
      <c r="D5" s="65"/>
      <c r="E5" s="65"/>
      <c r="F5" s="65"/>
      <c r="G5" s="65"/>
      <c r="H5" s="65"/>
      <c r="I5" s="154"/>
      <c r="J5" s="64"/>
      <c r="K5" s="64"/>
      <c r="L5" s="64"/>
    </row>
    <row r="6" spans="2:22" s="62" customFormat="1" ht="38.25">
      <c r="B6" s="66" t="s">
        <v>135</v>
      </c>
      <c r="C6" s="67" t="s">
        <v>136</v>
      </c>
      <c r="D6" s="67" t="s">
        <v>137</v>
      </c>
      <c r="E6" s="67" t="s">
        <v>138</v>
      </c>
      <c r="F6" s="67" t="s">
        <v>139</v>
      </c>
      <c r="G6" s="67" t="s">
        <v>115</v>
      </c>
      <c r="H6" s="68" t="s">
        <v>140</v>
      </c>
      <c r="I6" s="64"/>
      <c r="J6" s="64"/>
      <c r="T6" s="69"/>
      <c r="U6" s="69"/>
      <c r="V6" s="69"/>
    </row>
    <row r="7" spans="2:22" s="62" customFormat="1">
      <c r="B7" s="70">
        <f>M10</f>
        <v>48</v>
      </c>
      <c r="C7" s="71">
        <f>P10</f>
        <v>17135.77</v>
      </c>
      <c r="D7" s="71">
        <f>Q10</f>
        <v>1.2596643380251606</v>
      </c>
      <c r="E7" s="71">
        <v>8</v>
      </c>
      <c r="F7" s="71">
        <v>1</v>
      </c>
      <c r="G7" s="72">
        <f>ROUND((B7*C7*D7*E7*F7),2)</f>
        <v>8288762.2599999998</v>
      </c>
      <c r="H7" s="73">
        <f>ROUND(G7*30.2%,2)</f>
        <v>2503206.2000000002</v>
      </c>
      <c r="I7" s="64"/>
      <c r="J7" s="425" t="s">
        <v>141</v>
      </c>
      <c r="K7" s="425"/>
      <c r="T7" s="69"/>
      <c r="U7" s="69"/>
      <c r="V7" s="69"/>
    </row>
    <row r="8" spans="2:22" s="62" customFormat="1">
      <c r="B8" s="70">
        <f>M14</f>
        <v>50</v>
      </c>
      <c r="C8" s="71">
        <f>P14</f>
        <v>17135.77</v>
      </c>
      <c r="D8" s="71">
        <f>Q14</f>
        <v>1.2574476820843299</v>
      </c>
      <c r="E8" s="71">
        <v>3</v>
      </c>
      <c r="F8" s="71">
        <v>1</v>
      </c>
      <c r="G8" s="72">
        <f>ROUND((B8*C8*D8*E8*F8),2)</f>
        <v>3232100.14</v>
      </c>
      <c r="H8" s="73">
        <f>ROUND(G8*30.2%,2)</f>
        <v>976094.24</v>
      </c>
      <c r="I8" s="64"/>
      <c r="J8" s="74"/>
      <c r="K8" s="71"/>
      <c r="L8" s="74" t="s">
        <v>142</v>
      </c>
      <c r="M8" s="74" t="s">
        <v>143</v>
      </c>
      <c r="N8" s="74" t="s">
        <v>144</v>
      </c>
      <c r="O8" s="74" t="s">
        <v>145</v>
      </c>
      <c r="P8" s="74"/>
      <c r="Q8" s="74"/>
      <c r="T8" s="69"/>
      <c r="U8" s="69"/>
      <c r="V8" s="69"/>
    </row>
    <row r="9" spans="2:22" s="62" customFormat="1" ht="13.5" thickBot="1">
      <c r="B9" s="75">
        <f>M18</f>
        <v>50</v>
      </c>
      <c r="C9" s="78">
        <f>P18</f>
        <v>17135.77</v>
      </c>
      <c r="D9" s="78">
        <f>Q18</f>
        <v>1.0647644730897017</v>
      </c>
      <c r="E9" s="78">
        <v>1</v>
      </c>
      <c r="F9" s="78">
        <v>1</v>
      </c>
      <c r="G9" s="79">
        <f>ROUND((B9*C9*D9*E9*F9),2)</f>
        <v>912277.96</v>
      </c>
      <c r="H9" s="80">
        <f>ROUND(G9*30.2%,2)+0.01</f>
        <v>275507.95</v>
      </c>
      <c r="I9" s="64"/>
      <c r="J9" s="322">
        <v>42736</v>
      </c>
      <c r="K9" s="71" t="s">
        <v>146</v>
      </c>
      <c r="L9" s="81">
        <v>2026034</v>
      </c>
      <c r="M9" s="81">
        <v>117.25</v>
      </c>
      <c r="N9" s="74">
        <f>L9-O9</f>
        <v>1489630.38</v>
      </c>
      <c r="O9" s="81">
        <v>536403.62</v>
      </c>
      <c r="P9" s="217"/>
      <c r="Q9" s="74"/>
      <c r="T9" s="69"/>
      <c r="U9" s="69"/>
      <c r="V9" s="69"/>
    </row>
    <row r="10" spans="2:22" s="62" customFormat="1" ht="13.5" thickBot="1">
      <c r="B10" s="64"/>
      <c r="C10" s="64"/>
      <c r="D10" s="64"/>
      <c r="E10" s="64"/>
      <c r="F10" s="64"/>
      <c r="G10" s="327">
        <f>SUM(G7:G9)</f>
        <v>12433140.359999999</v>
      </c>
      <c r="H10" s="328">
        <f>SUM(H7:H9)</f>
        <v>3754808.3900000006</v>
      </c>
      <c r="I10" s="64"/>
      <c r="J10" s="74"/>
      <c r="K10" s="74" t="s">
        <v>257</v>
      </c>
      <c r="L10" s="74"/>
      <c r="M10" s="81">
        <v>48</v>
      </c>
      <c r="N10" s="81">
        <v>822516.76</v>
      </c>
      <c r="O10" s="81">
        <v>213578.27</v>
      </c>
      <c r="P10" s="74">
        <f>IF(M10=0,0,ROUND(N10/M10,2))</f>
        <v>17135.77</v>
      </c>
      <c r="Q10" s="74">
        <f>IF(N10=0,0,O10/N10+1)</f>
        <v>1.2596643380251606</v>
      </c>
      <c r="T10" s="69"/>
      <c r="U10" s="69"/>
      <c r="V10" s="69"/>
    </row>
    <row r="11" spans="2:22" s="62" customFormat="1">
      <c r="C11" s="64"/>
      <c r="D11" s="64"/>
      <c r="E11" s="64"/>
      <c r="F11" s="64"/>
      <c r="G11" s="64"/>
      <c r="H11" s="84"/>
      <c r="I11" s="64"/>
      <c r="J11" s="74"/>
      <c r="K11" s="74" t="s">
        <v>148</v>
      </c>
      <c r="L11" s="74">
        <f>L9-L10</f>
        <v>2026034</v>
      </c>
      <c r="M11" s="74">
        <f>M9-M10</f>
        <v>69.25</v>
      </c>
      <c r="N11" s="74">
        <f>N9-N10</f>
        <v>667113.61999999988</v>
      </c>
      <c r="O11" s="74">
        <f>O9-O10</f>
        <v>322825.34999999998</v>
      </c>
      <c r="P11" s="74">
        <f>IF(M11=0,0,ROUND(N11/M11,2))</f>
        <v>9633.41</v>
      </c>
      <c r="Q11" s="74">
        <f>IF(N11=0,0,O11/N11+1)</f>
        <v>1.4839135948086324</v>
      </c>
      <c r="T11" s="69"/>
      <c r="U11" s="69"/>
      <c r="V11" s="69"/>
    </row>
    <row r="12" spans="2:22" s="62" customFormat="1" ht="13.5" thickBot="1">
      <c r="C12" s="64"/>
      <c r="D12" s="64"/>
      <c r="E12" s="64"/>
      <c r="F12" s="64"/>
      <c r="G12" s="64"/>
      <c r="H12" s="64"/>
      <c r="I12" s="64"/>
      <c r="J12" s="71"/>
      <c r="K12" s="74"/>
      <c r="L12" s="74"/>
      <c r="M12" s="74"/>
      <c r="N12" s="74"/>
      <c r="O12" s="74"/>
      <c r="P12" s="74"/>
      <c r="Q12" s="74"/>
      <c r="T12" s="69"/>
      <c r="U12" s="69"/>
      <c r="V12" s="69"/>
    </row>
    <row r="13" spans="2:22" s="62" customFormat="1" ht="101.25">
      <c r="B13" s="85"/>
      <c r="C13" s="86" t="s">
        <v>149</v>
      </c>
      <c r="D13" s="67" t="s">
        <v>150</v>
      </c>
      <c r="E13" s="67"/>
      <c r="F13" s="87" t="s">
        <v>151</v>
      </c>
      <c r="G13" s="64"/>
      <c r="H13" s="64"/>
      <c r="I13" s="84"/>
      <c r="J13" s="322">
        <v>42979</v>
      </c>
      <c r="K13" s="71" t="s">
        <v>146</v>
      </c>
      <c r="L13" s="81">
        <v>2091876</v>
      </c>
      <c r="M13" s="81">
        <v>120.5</v>
      </c>
      <c r="N13" s="74">
        <f>L13-O13</f>
        <v>1524646.8</v>
      </c>
      <c r="O13" s="81">
        <v>567229.19999999995</v>
      </c>
      <c r="P13" s="217"/>
      <c r="Q13" s="74"/>
      <c r="T13" s="69"/>
      <c r="U13" s="69"/>
      <c r="V13" s="69"/>
    </row>
    <row r="14" spans="2:22" s="62" customFormat="1">
      <c r="B14" s="88" t="s">
        <v>152</v>
      </c>
      <c r="C14" s="71">
        <f>ROUND(F14/D14,2)</f>
        <v>318</v>
      </c>
      <c r="D14" s="71">
        <f>'проверка 2017'!I12+'проверка 2017'!J12</f>
        <v>645</v>
      </c>
      <c r="E14" s="71"/>
      <c r="F14" s="73">
        <f>'проверка 2017'!B18</f>
        <v>205110</v>
      </c>
      <c r="G14" s="64"/>
      <c r="H14" s="64"/>
      <c r="I14" s="84"/>
      <c r="J14" s="74"/>
      <c r="K14" s="74" t="s">
        <v>257</v>
      </c>
      <c r="L14" s="74"/>
      <c r="M14" s="81">
        <v>50</v>
      </c>
      <c r="N14" s="81">
        <f>822516.76+34271.96</f>
        <v>856788.72</v>
      </c>
      <c r="O14" s="94">
        <f>213578.27+7000</f>
        <v>220578.27</v>
      </c>
      <c r="P14" s="74">
        <f>IF(M14=0,0,ROUND(N14/M14,2))</f>
        <v>17135.77</v>
      </c>
      <c r="Q14" s="74">
        <f>IF(N14=0,0,O14/N14+1)</f>
        <v>1.2574476820843299</v>
      </c>
      <c r="T14" s="69"/>
      <c r="U14" s="69"/>
      <c r="V14" s="69"/>
    </row>
    <row r="15" spans="2:22" s="62" customFormat="1" ht="56.25" customHeight="1" thickBot="1">
      <c r="B15" s="89" t="s">
        <v>153</v>
      </c>
      <c r="C15" s="78">
        <v>37.35</v>
      </c>
      <c r="D15" s="78">
        <f>ROUND(F15/C15,0)</f>
        <v>605</v>
      </c>
      <c r="E15" s="78"/>
      <c r="F15" s="80">
        <f>'проверка 2017'!B17</f>
        <v>22597</v>
      </c>
      <c r="G15" s="64"/>
      <c r="H15" s="64"/>
      <c r="I15" s="64"/>
      <c r="J15" s="74"/>
      <c r="K15" s="74" t="s">
        <v>148</v>
      </c>
      <c r="L15" s="74">
        <f>L13-L14</f>
        <v>2091876</v>
      </c>
      <c r="M15" s="74">
        <f>M13-M14</f>
        <v>70.5</v>
      </c>
      <c r="N15" s="74">
        <f>N13-N14</f>
        <v>667858.08000000007</v>
      </c>
      <c r="O15" s="74">
        <f>O13-O14</f>
        <v>346650.92999999993</v>
      </c>
      <c r="P15" s="74">
        <f>IF(M15=0,0,ROUND(N15/M15,2))</f>
        <v>9473.16</v>
      </c>
      <c r="Q15" s="74">
        <f>IF(N15=0,0,O15/N15+1)</f>
        <v>1.5190487925219081</v>
      </c>
      <c r="T15" s="69"/>
      <c r="U15" s="69"/>
      <c r="V15" s="69"/>
    </row>
    <row r="16" spans="2:22" s="62" customFormat="1">
      <c r="C16" s="64"/>
      <c r="D16" s="64"/>
      <c r="E16" s="64"/>
      <c r="F16" s="64"/>
      <c r="G16" s="64"/>
      <c r="H16" s="64"/>
      <c r="I16" s="64"/>
      <c r="J16" s="71"/>
      <c r="K16" s="71"/>
      <c r="L16" s="71"/>
      <c r="M16" s="74"/>
      <c r="N16" s="74"/>
      <c r="O16" s="74"/>
      <c r="P16" s="74"/>
      <c r="Q16" s="74"/>
      <c r="T16" s="69"/>
      <c r="U16" s="69"/>
      <c r="V16" s="69"/>
    </row>
    <row r="17" spans="2:84" s="62" customFormat="1">
      <c r="B17" s="90"/>
      <c r="H17" s="90"/>
      <c r="I17" s="64"/>
      <c r="J17" s="322">
        <v>43070</v>
      </c>
      <c r="K17" s="71" t="s">
        <v>146</v>
      </c>
      <c r="L17" s="81">
        <v>1863611</v>
      </c>
      <c r="M17" s="81">
        <v>120.5</v>
      </c>
      <c r="N17" s="74">
        <f>L17-O17</f>
        <v>1524646.8</v>
      </c>
      <c r="O17" s="81">
        <v>338964.2</v>
      </c>
      <c r="P17" s="217"/>
      <c r="Q17" s="74"/>
      <c r="T17" s="69"/>
      <c r="U17" s="69"/>
      <c r="V17" s="69"/>
    </row>
    <row r="18" spans="2:84" s="62" customFormat="1">
      <c r="B18" s="90"/>
      <c r="C18" s="90"/>
      <c r="D18" s="90"/>
      <c r="E18" s="90"/>
      <c r="F18" s="90"/>
      <c r="G18" s="90"/>
      <c r="H18" s="90"/>
      <c r="I18" s="92"/>
      <c r="J18" s="74"/>
      <c r="K18" s="74" t="s">
        <v>257</v>
      </c>
      <c r="L18" s="74"/>
      <c r="M18" s="81">
        <v>50</v>
      </c>
      <c r="N18" s="81">
        <f>N14</f>
        <v>856788.72</v>
      </c>
      <c r="O18" s="81">
        <f>30828+24560.98+100.49</f>
        <v>55489.469999999994</v>
      </c>
      <c r="P18" s="74">
        <f>IF(M18=0,0,ROUND(N18/M18,2))</f>
        <v>17135.77</v>
      </c>
      <c r="Q18" s="74">
        <f>IF(N18=0,0,O18/N18+1)</f>
        <v>1.0647644730897017</v>
      </c>
      <c r="T18" s="69"/>
      <c r="U18" s="69"/>
      <c r="V18" s="69"/>
    </row>
    <row r="19" spans="2:84" s="62" customFormat="1" ht="49.5" customHeight="1">
      <c r="B19" s="426" t="s">
        <v>154</v>
      </c>
      <c r="C19" s="426"/>
      <c r="D19" s="426"/>
      <c r="E19" s="426"/>
      <c r="F19" s="426"/>
      <c r="G19" s="426"/>
      <c r="H19" s="426"/>
      <c r="I19" s="92"/>
      <c r="J19" s="74"/>
      <c r="K19" s="74" t="s">
        <v>148</v>
      </c>
      <c r="L19" s="74">
        <f>L17-L18</f>
        <v>1863611</v>
      </c>
      <c r="M19" s="74">
        <f>M17-M18</f>
        <v>70.5</v>
      </c>
      <c r="N19" s="74">
        <f>N17-N18</f>
        <v>667858.08000000007</v>
      </c>
      <c r="O19" s="74">
        <f>O17-O18</f>
        <v>283474.73000000004</v>
      </c>
      <c r="P19" s="74">
        <f>IF(M19=0,0,ROUND(N19/M19,2))</f>
        <v>9473.16</v>
      </c>
      <c r="Q19" s="74">
        <f>IF(N19=0,0,O19/N19+1)</f>
        <v>1.4244535455796239</v>
      </c>
      <c r="T19" s="91"/>
      <c r="U19" s="69"/>
      <c r="V19" s="91"/>
    </row>
    <row r="20" spans="2:84" s="62" customFormat="1" ht="13.5" thickBot="1">
      <c r="B20" s="38"/>
      <c r="C20" s="52"/>
      <c r="D20" s="52"/>
      <c r="E20" s="52"/>
      <c r="F20" s="52"/>
      <c r="G20" s="52"/>
      <c r="H20" s="52"/>
      <c r="I20" s="92"/>
      <c r="J20" s="71"/>
      <c r="K20" s="71"/>
      <c r="L20" s="71"/>
      <c r="M20" s="74"/>
      <c r="N20" s="74"/>
      <c r="O20" s="74"/>
      <c r="P20" s="74"/>
      <c r="Q20" s="74"/>
      <c r="T20" s="69"/>
      <c r="U20" s="69"/>
      <c r="V20" s="69"/>
    </row>
    <row r="21" spans="2:84" s="62" customFormat="1" ht="38.25">
      <c r="B21" s="66" t="s">
        <v>135</v>
      </c>
      <c r="C21" s="67" t="s">
        <v>136</v>
      </c>
      <c r="D21" s="67" t="s">
        <v>137</v>
      </c>
      <c r="E21" s="67" t="s">
        <v>138</v>
      </c>
      <c r="F21" s="67" t="s">
        <v>139</v>
      </c>
      <c r="G21" s="67" t="s">
        <v>115</v>
      </c>
      <c r="H21" s="68" t="s">
        <v>140</v>
      </c>
      <c r="I21" s="92"/>
      <c r="J21" s="71">
        <v>4</v>
      </c>
      <c r="K21" s="71" t="s">
        <v>146</v>
      </c>
      <c r="L21" s="81"/>
      <c r="M21" s="81"/>
      <c r="N21" s="74">
        <f>L21-O21</f>
        <v>0</v>
      </c>
      <c r="O21" s="81"/>
      <c r="P21" s="74"/>
      <c r="Q21" s="74"/>
      <c r="T21" s="91"/>
      <c r="U21" s="69"/>
      <c r="V21" s="91"/>
    </row>
    <row r="22" spans="2:84" s="90" customFormat="1">
      <c r="B22" s="70"/>
      <c r="C22" s="71"/>
      <c r="D22" s="71"/>
      <c r="E22" s="71"/>
      <c r="F22" s="71"/>
      <c r="G22" s="294"/>
      <c r="H22" s="295">
        <f>ROUND(G22*30.2%,2)</f>
        <v>0</v>
      </c>
      <c r="I22" s="92"/>
      <c r="J22" s="93"/>
      <c r="K22" s="74" t="s">
        <v>257</v>
      </c>
      <c r="L22" s="74">
        <f>O22+N22</f>
        <v>0</v>
      </c>
      <c r="M22" s="81"/>
      <c r="N22" s="81"/>
      <c r="O22" s="81"/>
      <c r="P22" s="74">
        <f>IF(M22=0,0,ROUND(N22/M22,2))</f>
        <v>0</v>
      </c>
      <c r="Q22" s="74">
        <f>IF(N22=0,0,O22/N22+1)</f>
        <v>0</v>
      </c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</row>
    <row r="23" spans="2:84" s="90" customFormat="1">
      <c r="B23" s="70"/>
      <c r="C23" s="71"/>
      <c r="D23" s="71"/>
      <c r="E23" s="71"/>
      <c r="F23" s="71"/>
      <c r="G23" s="294"/>
      <c r="H23" s="295">
        <f>ROUND(G23*30.2%,2)</f>
        <v>0</v>
      </c>
      <c r="I23" s="52"/>
      <c r="J23" s="93"/>
      <c r="K23" s="74" t="s">
        <v>148</v>
      </c>
      <c r="L23" s="74">
        <f>L21-L22</f>
        <v>0</v>
      </c>
      <c r="M23" s="74">
        <f>M21-M22</f>
        <v>0</v>
      </c>
      <c r="N23" s="74">
        <f>N21-N22</f>
        <v>0</v>
      </c>
      <c r="O23" s="74">
        <f>O21-O22</f>
        <v>0</v>
      </c>
      <c r="P23" s="74">
        <f>IF(M23=0,0,ROUND(N23/M23,2))</f>
        <v>0</v>
      </c>
      <c r="Q23" s="74">
        <f>IF(N23=0,0,O23/N23+1)</f>
        <v>0</v>
      </c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</row>
    <row r="24" spans="2:84" s="90" customFormat="1" ht="13.5" thickBot="1">
      <c r="B24" s="75"/>
      <c r="C24" s="76"/>
      <c r="D24" s="77"/>
      <c r="E24" s="78"/>
      <c r="F24" s="78"/>
      <c r="G24" s="296"/>
      <c r="H24" s="297">
        <f>ROUND(G24*30.2%,2)</f>
        <v>0</v>
      </c>
      <c r="I24" s="5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</row>
    <row r="25" spans="2:84" s="90" customFormat="1" ht="13.5" thickBot="1">
      <c r="B25" s="64"/>
      <c r="C25" s="64"/>
      <c r="D25" s="64"/>
      <c r="E25" s="64"/>
      <c r="F25" s="64"/>
      <c r="G25" s="298">
        <f>SUM(G22:G24)</f>
        <v>0</v>
      </c>
      <c r="H25" s="299">
        <f>SUM(H22:H24)</f>
        <v>0</v>
      </c>
      <c r="I25" s="5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</row>
    <row r="26" spans="2:84" s="90" customFormat="1" ht="18.75">
      <c r="B26" s="60"/>
      <c r="C26" s="60"/>
      <c r="D26" s="60"/>
      <c r="E26" s="60"/>
      <c r="F26" s="60"/>
      <c r="G26" s="300"/>
      <c r="H26" s="300"/>
      <c r="I26" s="52"/>
      <c r="J26" s="156"/>
      <c r="K26" s="156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</row>
    <row r="27" spans="2:84" ht="18.75">
      <c r="B27" s="60"/>
      <c r="C27" s="64"/>
      <c r="D27" s="64"/>
      <c r="E27" s="64"/>
      <c r="F27" s="64"/>
      <c r="G27" s="64"/>
      <c r="H27" s="60"/>
      <c r="J27" s="428" t="s">
        <v>155</v>
      </c>
      <c r="K27" s="429"/>
      <c r="L27" s="74" t="s">
        <v>142</v>
      </c>
      <c r="M27" s="74" t="s">
        <v>143</v>
      </c>
      <c r="N27" s="74" t="s">
        <v>144</v>
      </c>
      <c r="O27" s="74" t="s">
        <v>145</v>
      </c>
      <c r="P27" s="323"/>
      <c r="Q27" s="324"/>
    </row>
    <row r="28" spans="2:84" ht="18.75">
      <c r="B28" s="48" t="s">
        <v>302</v>
      </c>
      <c r="C28" s="157"/>
      <c r="D28" s="158"/>
      <c r="E28" s="97"/>
      <c r="F28" s="98"/>
      <c r="G28" s="98"/>
      <c r="H28" s="60"/>
      <c r="J28" s="320">
        <v>42736</v>
      </c>
      <c r="K28" s="71" t="s">
        <v>146</v>
      </c>
      <c r="L28" s="94">
        <v>132774</v>
      </c>
      <c r="M28" s="81">
        <v>21.1</v>
      </c>
      <c r="N28" s="74">
        <f>L28-O28</f>
        <v>132207.53</v>
      </c>
      <c r="O28" s="81">
        <v>566.47</v>
      </c>
      <c r="P28" s="74"/>
      <c r="Q28" s="74"/>
    </row>
    <row r="29" spans="2:84" ht="18.75">
      <c r="B29" s="90"/>
      <c r="C29" s="90"/>
      <c r="D29" s="90"/>
      <c r="E29" s="90"/>
      <c r="F29" s="90"/>
      <c r="G29" s="90"/>
      <c r="H29" s="60"/>
      <c r="J29" s="93"/>
      <c r="K29" s="74" t="s">
        <v>147</v>
      </c>
      <c r="L29" s="74">
        <f>O29+N29</f>
        <v>0</v>
      </c>
      <c r="M29" s="81">
        <v>0</v>
      </c>
      <c r="N29" s="81"/>
      <c r="O29" s="81"/>
      <c r="P29" s="74">
        <f>IF(M29=0,0,ROUND(N29/M29,2))</f>
        <v>0</v>
      </c>
      <c r="Q29" s="74">
        <f>IF(N29=0,0,O29/N29+1)</f>
        <v>0</v>
      </c>
    </row>
    <row r="30" spans="2:84" ht="18.75">
      <c r="B30" s="90"/>
      <c r="C30" s="90"/>
      <c r="D30" s="90"/>
      <c r="E30" s="90"/>
      <c r="F30" s="90"/>
      <c r="G30" s="90"/>
      <c r="H30" s="60"/>
      <c r="J30" s="93"/>
      <c r="K30" s="74" t="s">
        <v>148</v>
      </c>
      <c r="L30" s="74">
        <f>L28-L29</f>
        <v>132774</v>
      </c>
      <c r="M30" s="74">
        <f>M28-M29</f>
        <v>21.1</v>
      </c>
      <c r="N30" s="74">
        <f>N28-N29</f>
        <v>132207.53</v>
      </c>
      <c r="O30" s="74">
        <f>O28-O29</f>
        <v>566.47</v>
      </c>
      <c r="P30" s="74">
        <f>IF(M30=0,0,ROUND(N30/M30,2))</f>
        <v>6265.76</v>
      </c>
      <c r="Q30" s="74">
        <f>IF(N30=0,0,O30/N30+1)</f>
        <v>1.0042847029968716</v>
      </c>
    </row>
    <row r="31" spans="2:84" ht="18.75">
      <c r="B31" s="38" t="s">
        <v>260</v>
      </c>
      <c r="C31" s="157"/>
      <c r="D31" s="157"/>
      <c r="E31" s="90"/>
      <c r="F31" s="98"/>
      <c r="G31" s="99"/>
      <c r="H31" s="60"/>
      <c r="J31" s="431" t="s">
        <v>155</v>
      </c>
      <c r="K31" s="431"/>
      <c r="L31" s="74" t="s">
        <v>142</v>
      </c>
      <c r="M31" s="74" t="s">
        <v>143</v>
      </c>
      <c r="N31" s="74" t="s">
        <v>144</v>
      </c>
      <c r="O31" s="74" t="s">
        <v>145</v>
      </c>
      <c r="P31" s="323"/>
      <c r="Q31" s="324"/>
    </row>
    <row r="32" spans="2:84" ht="18.75">
      <c r="B32" s="60"/>
      <c r="C32" s="90"/>
      <c r="D32" s="90"/>
      <c r="E32" s="90"/>
      <c r="F32" s="90"/>
      <c r="G32" s="90"/>
      <c r="H32" s="60"/>
      <c r="J32" s="320">
        <v>42979</v>
      </c>
      <c r="K32" s="71" t="s">
        <v>146</v>
      </c>
      <c r="L32" s="94">
        <v>132774</v>
      </c>
      <c r="M32" s="81">
        <v>21.1</v>
      </c>
      <c r="N32" s="74">
        <f>L32-O32</f>
        <v>132207.53</v>
      </c>
      <c r="O32" s="81">
        <v>566.47</v>
      </c>
      <c r="P32" s="74"/>
      <c r="Q32" s="74"/>
    </row>
    <row r="33" spans="2:17" ht="18.75">
      <c r="B33" s="60"/>
      <c r="C33" s="60"/>
      <c r="D33" s="60"/>
      <c r="E33" s="60"/>
      <c r="F33" s="60"/>
      <c r="G33" s="60"/>
      <c r="H33" s="60"/>
      <c r="J33" s="93"/>
      <c r="K33" s="74" t="s">
        <v>147</v>
      </c>
      <c r="L33" s="74">
        <f>O33+N33</f>
        <v>0</v>
      </c>
      <c r="M33" s="81">
        <v>0</v>
      </c>
      <c r="N33" s="81"/>
      <c r="O33" s="81"/>
      <c r="P33" s="74">
        <f>IF(M33=0,0,ROUND(N33/M33,2))</f>
        <v>0</v>
      </c>
      <c r="Q33" s="74">
        <f>IF(N33=0,0,O33/N33+1)</f>
        <v>0</v>
      </c>
    </row>
    <row r="34" spans="2:17" ht="18.75">
      <c r="B34" s="60"/>
      <c r="C34" s="60"/>
      <c r="D34" s="60"/>
      <c r="E34" s="60"/>
      <c r="F34" s="60"/>
      <c r="G34" s="60"/>
      <c r="H34" s="60"/>
      <c r="J34" s="93"/>
      <c r="K34" s="74" t="s">
        <v>148</v>
      </c>
      <c r="L34" s="321">
        <f>L32-L33</f>
        <v>132774</v>
      </c>
      <c r="M34" s="74">
        <f>M32-M33</f>
        <v>21.1</v>
      </c>
      <c r="N34" s="74">
        <f>N32-N33</f>
        <v>132207.53</v>
      </c>
      <c r="O34" s="74">
        <f>O32-O33</f>
        <v>566.47</v>
      </c>
      <c r="P34" s="74">
        <f>IF(M34=0,0,ROUND(N34/M34,2))</f>
        <v>6265.76</v>
      </c>
      <c r="Q34" s="74">
        <f>IF(N34=0,0,O34/N34+1)</f>
        <v>1.0042847029968716</v>
      </c>
    </row>
    <row r="35" spans="2:17" ht="18.75">
      <c r="B35" s="60"/>
      <c r="C35" s="60"/>
      <c r="D35" s="60"/>
      <c r="E35" s="60"/>
      <c r="F35" s="60"/>
      <c r="G35" s="60"/>
      <c r="H35" s="60"/>
      <c r="J35" s="95"/>
      <c r="K35" s="96"/>
      <c r="L35" s="96"/>
      <c r="M35" s="96"/>
      <c r="N35" s="96"/>
      <c r="O35" s="96"/>
      <c r="P35" s="96"/>
      <c r="Q35" s="96"/>
    </row>
    <row r="36" spans="2:17" ht="18.75">
      <c r="B36" s="60"/>
      <c r="C36" s="60"/>
      <c r="D36" s="60"/>
      <c r="E36" s="60"/>
      <c r="F36" s="60"/>
      <c r="G36" s="60"/>
      <c r="H36" s="60"/>
      <c r="J36" s="95"/>
      <c r="K36" s="96"/>
      <c r="L36" s="96"/>
      <c r="M36" s="96"/>
      <c r="N36" s="96"/>
      <c r="O36" s="96"/>
      <c r="P36" s="96"/>
      <c r="Q36" s="96"/>
    </row>
    <row r="37" spans="2:17" ht="18.75">
      <c r="B37" s="60"/>
      <c r="C37" s="60"/>
      <c r="D37" s="60"/>
      <c r="E37" s="60"/>
      <c r="F37" s="60"/>
      <c r="G37" s="60"/>
      <c r="H37" s="60"/>
      <c r="J37" s="95"/>
      <c r="K37" s="96"/>
      <c r="L37" s="96"/>
      <c r="M37" s="96"/>
      <c r="N37" s="96"/>
      <c r="O37" s="96"/>
      <c r="P37" s="96"/>
      <c r="Q37" s="96"/>
    </row>
    <row r="38" spans="2:17" ht="18.75">
      <c r="B38" s="60"/>
      <c r="C38" s="60"/>
      <c r="D38" s="60"/>
      <c r="E38" s="60"/>
      <c r="F38" s="60"/>
      <c r="G38" s="60"/>
      <c r="H38" s="60"/>
      <c r="J38" s="95"/>
      <c r="K38" s="96"/>
      <c r="L38" s="96"/>
      <c r="M38" s="96"/>
      <c r="N38" s="96"/>
      <c r="O38" s="96"/>
      <c r="P38" s="96"/>
      <c r="Q38" s="96"/>
    </row>
    <row r="39" spans="2:17" ht="18.75">
      <c r="B39" s="60"/>
      <c r="C39" s="60"/>
      <c r="D39" s="60"/>
      <c r="E39" s="60"/>
      <c r="F39" s="60"/>
      <c r="G39" s="60"/>
      <c r="H39" s="60"/>
      <c r="J39" s="95"/>
      <c r="K39" s="96"/>
      <c r="L39" s="96"/>
      <c r="M39" s="96"/>
      <c r="N39" s="96"/>
      <c r="O39" s="96"/>
      <c r="P39" s="96"/>
      <c r="Q39" s="96"/>
    </row>
    <row r="40" spans="2:17" ht="18.75">
      <c r="B40" s="60"/>
      <c r="C40" s="60"/>
      <c r="D40" s="60"/>
      <c r="E40" s="60"/>
      <c r="F40" s="60"/>
      <c r="G40" s="60"/>
      <c r="H40" s="60"/>
      <c r="J40" s="95"/>
      <c r="K40" s="96"/>
      <c r="L40" s="96"/>
      <c r="M40" s="96"/>
      <c r="N40" s="96"/>
      <c r="O40" s="96"/>
      <c r="P40" s="96"/>
      <c r="Q40" s="96"/>
    </row>
    <row r="41" spans="2:17" ht="18.75">
      <c r="B41" s="60"/>
      <c r="C41" s="60"/>
      <c r="D41" s="60"/>
      <c r="E41" s="60"/>
      <c r="F41" s="60"/>
      <c r="G41" s="60"/>
      <c r="H41" s="60"/>
      <c r="J41" s="95"/>
      <c r="K41" s="96"/>
      <c r="L41" s="96"/>
      <c r="M41" s="96"/>
      <c r="N41" s="96"/>
      <c r="O41" s="96"/>
      <c r="P41" s="96"/>
      <c r="Q41" s="96"/>
    </row>
    <row r="42" spans="2:17">
      <c r="B42" s="52"/>
      <c r="G42" s="430" t="s">
        <v>156</v>
      </c>
      <c r="H42" s="430"/>
      <c r="J42" s="95"/>
      <c r="K42" s="96"/>
      <c r="L42" s="96"/>
      <c r="M42" s="96"/>
      <c r="N42" s="96"/>
      <c r="O42" s="96"/>
      <c r="P42" s="96"/>
      <c r="Q42" s="96"/>
    </row>
    <row r="43" spans="2:17" ht="48" customHeight="1">
      <c r="B43" s="427" t="s">
        <v>258</v>
      </c>
      <c r="C43" s="427"/>
      <c r="D43" s="427"/>
      <c r="E43" s="427"/>
      <c r="F43" s="427"/>
      <c r="G43" s="427"/>
      <c r="H43" s="427"/>
      <c r="J43" s="95"/>
      <c r="K43" s="96"/>
      <c r="L43" s="96"/>
      <c r="M43" s="96"/>
      <c r="N43" s="96"/>
      <c r="O43" s="96"/>
      <c r="P43" s="96"/>
      <c r="Q43" s="96"/>
    </row>
    <row r="44" spans="2:17" ht="54.75" customHeight="1" thickBot="1">
      <c r="B44" s="432" t="s">
        <v>157</v>
      </c>
      <c r="C44" s="432"/>
      <c r="D44" s="432"/>
      <c r="E44" s="432"/>
      <c r="F44" s="432"/>
      <c r="G44" s="432"/>
      <c r="H44" s="432"/>
      <c r="J44" s="95"/>
      <c r="K44" s="325">
        <f>G49-17383232.67</f>
        <v>-5468862.0300000012</v>
      </c>
      <c r="L44" s="96"/>
      <c r="M44" s="96"/>
      <c r="N44" s="96"/>
      <c r="O44" s="96"/>
      <c r="P44" s="96"/>
      <c r="Q44" s="96"/>
    </row>
    <row r="45" spans="2:17" ht="38.25">
      <c r="B45" s="66" t="s">
        <v>158</v>
      </c>
      <c r="C45" s="67" t="s">
        <v>136</v>
      </c>
      <c r="D45" s="67" t="s">
        <v>137</v>
      </c>
      <c r="E45" s="67" t="s">
        <v>138</v>
      </c>
      <c r="F45" s="67" t="s">
        <v>139</v>
      </c>
      <c r="G45" s="67" t="s">
        <v>115</v>
      </c>
      <c r="H45" s="68" t="s">
        <v>140</v>
      </c>
      <c r="J45" s="95"/>
      <c r="K45" s="96"/>
      <c r="L45" s="96"/>
      <c r="M45" s="96"/>
      <c r="N45" s="96"/>
      <c r="O45" s="96"/>
      <c r="P45" s="96"/>
      <c r="Q45" s="96"/>
    </row>
    <row r="46" spans="2:17">
      <c r="B46" s="70">
        <f>M11</f>
        <v>69.25</v>
      </c>
      <c r="C46" s="71">
        <f>P11</f>
        <v>9633.41</v>
      </c>
      <c r="D46" s="71">
        <f>Q11</f>
        <v>1.4839135948086324</v>
      </c>
      <c r="E46" s="71">
        <v>8</v>
      </c>
      <c r="F46" s="71">
        <v>1</v>
      </c>
      <c r="G46" s="72">
        <f>ROUND((B46*C46*D46*E46*F46),2)</f>
        <v>7919512.0300000003</v>
      </c>
      <c r="H46" s="73">
        <f>ROUND(G46*30.2%,2)</f>
        <v>2391692.63</v>
      </c>
      <c r="J46" s="95"/>
      <c r="K46" s="96"/>
      <c r="L46" s="96"/>
      <c r="M46" s="96"/>
      <c r="N46" s="96"/>
      <c r="O46" s="96"/>
      <c r="P46" s="96"/>
      <c r="Q46" s="96"/>
    </row>
    <row r="47" spans="2:17">
      <c r="B47" s="70">
        <f>M15</f>
        <v>70.5</v>
      </c>
      <c r="C47" s="71">
        <f>P15</f>
        <v>9473.16</v>
      </c>
      <c r="D47" s="71">
        <f>Q15</f>
        <v>1.5190487925219081</v>
      </c>
      <c r="E47" s="71">
        <v>3</v>
      </c>
      <c r="F47" s="71">
        <v>1</v>
      </c>
      <c r="G47" s="72">
        <f>ROUND((B47*C47*D47*E47*F47),2)</f>
        <v>3043525.66</v>
      </c>
      <c r="H47" s="73">
        <f>ROUND(G47*30.2%,2)</f>
        <v>919144.75</v>
      </c>
      <c r="J47" s="95"/>
      <c r="K47" s="96"/>
      <c r="L47" s="96"/>
      <c r="M47" s="96"/>
      <c r="N47" s="96"/>
      <c r="O47" s="96"/>
      <c r="P47" s="96"/>
      <c r="Q47" s="96"/>
    </row>
    <row r="48" spans="2:17" ht="13.5" thickBot="1">
      <c r="B48" s="75">
        <f>M19</f>
        <v>70.5</v>
      </c>
      <c r="C48" s="78">
        <f>P19</f>
        <v>9473.16</v>
      </c>
      <c r="D48" s="78">
        <f>Q19</f>
        <v>1.4244535455796239</v>
      </c>
      <c r="E48" s="78">
        <v>1</v>
      </c>
      <c r="F48" s="78">
        <v>1</v>
      </c>
      <c r="G48" s="79">
        <f>ROUND((B48*C48*D48*E48*F48),2)+0.57</f>
        <v>951332.95</v>
      </c>
      <c r="H48" s="80">
        <f>ROUND(G48*30.2%,2)-0.32</f>
        <v>287302.23</v>
      </c>
      <c r="J48" s="95"/>
      <c r="K48" s="96"/>
      <c r="L48" s="96"/>
      <c r="M48" s="96"/>
      <c r="N48" s="96"/>
      <c r="O48" s="96"/>
      <c r="P48" s="96"/>
      <c r="Q48" s="96"/>
    </row>
    <row r="49" spans="1:84" ht="13.5" thickBot="1">
      <c r="B49" s="64"/>
      <c r="C49" s="64"/>
      <c r="D49" s="64"/>
      <c r="E49" s="64"/>
      <c r="F49" s="64"/>
      <c r="G49" s="327">
        <f>SUM(G46:G48)</f>
        <v>11914370.640000001</v>
      </c>
      <c r="H49" s="328">
        <f>SUM(H46:H48)</f>
        <v>3598139.61</v>
      </c>
      <c r="J49" s="95"/>
      <c r="K49" s="96"/>
      <c r="L49" s="96"/>
      <c r="M49" s="96"/>
      <c r="N49" s="96"/>
      <c r="O49" s="96"/>
      <c r="P49" s="96"/>
      <c r="Q49" s="96"/>
    </row>
    <row r="50" spans="1:84">
      <c r="B50" s="104"/>
      <c r="C50" s="105"/>
      <c r="D50" s="104"/>
      <c r="E50" s="104"/>
      <c r="F50" s="104"/>
      <c r="G50" s="104"/>
      <c r="H50" s="104"/>
      <c r="J50" s="95"/>
      <c r="K50" s="96"/>
      <c r="L50" s="96"/>
      <c r="M50" s="96"/>
      <c r="N50" s="96"/>
      <c r="O50" s="96"/>
      <c r="P50" s="96"/>
      <c r="Q50" s="96"/>
    </row>
    <row r="51" spans="1:84" s="52" customFormat="1" ht="52.5" customHeight="1" thickBot="1">
      <c r="A51" s="38"/>
      <c r="B51" s="426" t="s">
        <v>159</v>
      </c>
      <c r="C51" s="426"/>
      <c r="D51" s="426"/>
      <c r="E51" s="426"/>
      <c r="F51" s="426"/>
      <c r="G51" s="426"/>
      <c r="H51" s="426"/>
      <c r="K51" s="101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</row>
    <row r="52" spans="1:84" s="52" customFormat="1" ht="38.25">
      <c r="A52" s="38"/>
      <c r="B52" s="66" t="s">
        <v>158</v>
      </c>
      <c r="C52" s="67" t="s">
        <v>136</v>
      </c>
      <c r="D52" s="67" t="s">
        <v>137</v>
      </c>
      <c r="E52" s="67" t="s">
        <v>138</v>
      </c>
      <c r="F52" s="67" t="s">
        <v>139</v>
      </c>
      <c r="G52" s="67" t="s">
        <v>115</v>
      </c>
      <c r="H52" s="68" t="s">
        <v>140</v>
      </c>
      <c r="K52" s="101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</row>
    <row r="53" spans="1:84" s="52" customFormat="1">
      <c r="A53" s="62"/>
      <c r="B53" s="70">
        <f>M30</f>
        <v>21.1</v>
      </c>
      <c r="C53" s="71">
        <f>P30</f>
        <v>6265.76</v>
      </c>
      <c r="D53" s="71">
        <f>Q30</f>
        <v>1.0042847029968716</v>
      </c>
      <c r="E53" s="71">
        <v>8</v>
      </c>
      <c r="F53" s="71">
        <v>1</v>
      </c>
      <c r="G53" s="72">
        <f>ROUND((B53*C53*D53*E53*F53),2)</f>
        <v>1062192.05</v>
      </c>
      <c r="H53" s="73">
        <f>ROUND(G53*30.2%,2)</f>
        <v>320782</v>
      </c>
      <c r="K53" s="101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</row>
    <row r="54" spans="1:84" s="52" customFormat="1">
      <c r="A54" s="62"/>
      <c r="B54" s="70">
        <f>M34</f>
        <v>21.1</v>
      </c>
      <c r="C54" s="71">
        <f>P34</f>
        <v>6265.76</v>
      </c>
      <c r="D54" s="71">
        <f>Q34</f>
        <v>1.0042847029968716</v>
      </c>
      <c r="E54" s="71">
        <v>4</v>
      </c>
      <c r="F54" s="71">
        <v>1</v>
      </c>
      <c r="G54" s="72">
        <f>ROUND((B54*C54*D54*E54*F54),2)-0.07</f>
        <v>531095.95000000007</v>
      </c>
      <c r="H54" s="73">
        <f>ROUND(G54*30.2%,2)+0.02</f>
        <v>160391</v>
      </c>
      <c r="K54" s="101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</row>
    <row r="55" spans="1:84" s="52" customFormat="1" ht="13.5" thickBot="1">
      <c r="A55" s="62"/>
      <c r="B55" s="75"/>
      <c r="C55" s="76"/>
      <c r="D55" s="77"/>
      <c r="E55" s="78"/>
      <c r="F55" s="78"/>
      <c r="G55" s="79">
        <f>ROUND((B55*C55*D55*E55*F55),2)</f>
        <v>0</v>
      </c>
      <c r="H55" s="80">
        <f>ROUND(G55*30.2%,2)</f>
        <v>0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</row>
    <row r="56" spans="1:84" s="52" customFormat="1" ht="13.5" thickBot="1">
      <c r="A56" s="62"/>
      <c r="B56" s="64"/>
      <c r="C56" s="64"/>
      <c r="D56" s="64"/>
      <c r="E56" s="64"/>
      <c r="F56" s="64"/>
      <c r="G56" s="82">
        <f>SUM(G53:G55)</f>
        <v>1593288</v>
      </c>
      <c r="H56" s="83">
        <f>SUM(H53:H55)</f>
        <v>481173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</row>
    <row r="57" spans="1:84" s="52" customFormat="1">
      <c r="A57" s="62"/>
      <c r="B57" s="104"/>
      <c r="C57" s="105"/>
      <c r="D57" s="104"/>
      <c r="E57" s="104"/>
      <c r="F57" s="104"/>
      <c r="G57" s="104"/>
      <c r="H57" s="104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</row>
    <row r="58" spans="1:84" s="52" customFormat="1">
      <c r="A58" s="62"/>
      <c r="B58" s="104"/>
      <c r="C58" s="105"/>
      <c r="D58" s="104"/>
      <c r="E58" s="104"/>
      <c r="F58" s="104"/>
      <c r="G58" s="104" t="s">
        <v>160</v>
      </c>
      <c r="H58" s="104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</row>
    <row r="59" spans="1:84" s="52" customFormat="1" ht="13.5" thickBot="1">
      <c r="A59" s="62"/>
      <c r="B59" s="104"/>
      <c r="C59" s="105"/>
      <c r="D59" s="104"/>
      <c r="E59" s="104"/>
      <c r="F59" s="104"/>
      <c r="G59" s="104"/>
      <c r="H59" s="104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</row>
    <row r="60" spans="1:84" s="52" customFormat="1" ht="89.25">
      <c r="A60" s="62"/>
      <c r="B60" s="66" t="s">
        <v>161</v>
      </c>
      <c r="C60" s="67" t="s">
        <v>162</v>
      </c>
      <c r="D60" s="67" t="s">
        <v>138</v>
      </c>
      <c r="E60" s="68" t="s">
        <v>163</v>
      </c>
      <c r="F60" s="64"/>
      <c r="G60" s="64"/>
      <c r="H60" s="64" t="s">
        <v>160</v>
      </c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</row>
    <row r="61" spans="1:84" s="52" customFormat="1">
      <c r="A61" s="62"/>
      <c r="B61" s="70"/>
      <c r="C61" s="71"/>
      <c r="D61" s="71"/>
      <c r="E61" s="100"/>
      <c r="F61" s="64"/>
      <c r="G61" s="64"/>
      <c r="H61" s="64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</row>
    <row r="62" spans="1:84" s="52" customFormat="1" ht="13.5" thickBot="1">
      <c r="A62" s="62"/>
      <c r="B62" s="89">
        <v>50</v>
      </c>
      <c r="C62" s="78">
        <v>4</v>
      </c>
      <c r="D62" s="78">
        <v>12</v>
      </c>
      <c r="E62" s="103">
        <f>B62*C62*D62</f>
        <v>2400</v>
      </c>
      <c r="I62" s="52" t="s">
        <v>160</v>
      </c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</row>
    <row r="63" spans="1:84" s="52" customFormat="1">
      <c r="A63" s="62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</row>
    <row r="64" spans="1:84" s="52" customFormat="1">
      <c r="A64" s="62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</row>
    <row r="65" spans="1:84" s="52" customFormat="1">
      <c r="A65" s="62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</row>
    <row r="66" spans="1:84" s="52" customFormat="1">
      <c r="A66" s="62"/>
      <c r="B66" s="48" t="s">
        <v>302</v>
      </c>
      <c r="C66" s="157"/>
      <c r="D66" s="158"/>
      <c r="E66" s="98"/>
      <c r="F66" s="99"/>
      <c r="G66" s="98"/>
      <c r="H66" s="90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</row>
    <row r="67" spans="1:84" s="52" customFormat="1">
      <c r="A67" s="62"/>
      <c r="B67" s="90"/>
      <c r="C67" s="90"/>
      <c r="D67" s="90"/>
      <c r="E67" s="90"/>
      <c r="F67" s="90"/>
      <c r="G67" s="90"/>
      <c r="H67" s="90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</row>
    <row r="68" spans="1:84" s="52" customFormat="1">
      <c r="A68" s="38"/>
      <c r="B68" s="90"/>
      <c r="C68" s="90"/>
      <c r="D68" s="90"/>
      <c r="E68" s="90"/>
      <c r="F68" s="90"/>
      <c r="G68" s="90"/>
      <c r="H68" s="90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</row>
    <row r="69" spans="1:84" s="52" customFormat="1">
      <c r="A69" s="38"/>
      <c r="B69" s="38" t="s">
        <v>260</v>
      </c>
      <c r="C69" s="157"/>
      <c r="D69" s="157"/>
      <c r="E69" s="98"/>
      <c r="F69" s="99"/>
      <c r="G69" s="98"/>
      <c r="H69" s="90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</row>
    <row r="70" spans="1:84" s="52" customFormat="1">
      <c r="A70" s="38"/>
      <c r="B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</row>
    <row r="71" spans="1:84" s="52" customFormat="1">
      <c r="A71" s="38"/>
      <c r="B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</row>
    <row r="72" spans="1:84" s="52" customFormat="1">
      <c r="A72" s="38"/>
      <c r="B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</row>
    <row r="73" spans="1:84" s="52" customFormat="1">
      <c r="A73" s="38"/>
      <c r="B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</row>
  </sheetData>
  <mergeCells count="12">
    <mergeCell ref="B44:H44"/>
    <mergeCell ref="B51:H51"/>
    <mergeCell ref="B4:H4"/>
    <mergeCell ref="H1:I1"/>
    <mergeCell ref="H3:I3"/>
    <mergeCell ref="B43:H43"/>
    <mergeCell ref="J7:K7"/>
    <mergeCell ref="B19:H19"/>
    <mergeCell ref="B2:H2"/>
    <mergeCell ref="J27:K27"/>
    <mergeCell ref="G42:H42"/>
    <mergeCell ref="J31:K31"/>
  </mergeCells>
  <pageMargins left="0.59055118110236227" right="0" top="0.55118110236220474" bottom="0.55118110236220474" header="0.31496062992125984" footer="0.31496062992125984"/>
  <pageSetup paperSize="9" scale="85" orientation="portrait" r:id="rId1"/>
  <rowBreaks count="1" manualBreakCount="1">
    <brk id="4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CE112"/>
  <sheetViews>
    <sheetView view="pageBreakPreview" zoomScaleSheetLayoutView="100" workbookViewId="0">
      <selection activeCell="G13" sqref="G13"/>
    </sheetView>
  </sheetViews>
  <sheetFormatPr defaultRowHeight="12.75"/>
  <cols>
    <col min="1" max="1" width="3.42578125" style="38" customWidth="1"/>
    <col min="2" max="2" width="27.85546875" style="38" customWidth="1"/>
    <col min="3" max="3" width="16.85546875" style="260" customWidth="1"/>
    <col min="4" max="5" width="12.85546875" style="38" customWidth="1"/>
    <col min="6" max="6" width="13" style="38" customWidth="1"/>
    <col min="7" max="7" width="12.28515625" style="38" customWidth="1"/>
    <col min="8" max="9" width="9.140625" style="38"/>
    <col min="10" max="10" width="10.140625" style="38" bestFit="1" customWidth="1"/>
    <col min="11" max="11" width="8.7109375" style="38" customWidth="1"/>
    <col min="12" max="16384" width="9.140625" style="38"/>
  </cols>
  <sheetData>
    <row r="1" spans="2:7">
      <c r="F1" s="419" t="s">
        <v>164</v>
      </c>
      <c r="G1" s="419"/>
    </row>
    <row r="2" spans="2:7" ht="25.5" customHeight="1">
      <c r="B2" s="438" t="s">
        <v>165</v>
      </c>
      <c r="C2" s="438"/>
      <c r="D2" s="438"/>
      <c r="E2" s="438"/>
      <c r="F2" s="438"/>
      <c r="G2" s="438"/>
    </row>
    <row r="3" spans="2:7" s="107" customFormat="1">
      <c r="B3" s="106"/>
      <c r="C3" s="261"/>
      <c r="D3" s="106"/>
      <c r="E3" s="106"/>
      <c r="F3" s="106"/>
      <c r="G3" s="106"/>
    </row>
    <row r="4" spans="2:7" ht="13.5" thickBot="1">
      <c r="B4" s="106"/>
      <c r="C4" s="261"/>
      <c r="D4" s="106"/>
      <c r="E4" s="106"/>
      <c r="F4" s="106"/>
      <c r="G4" s="106"/>
    </row>
    <row r="5" spans="2:7" s="222" customFormat="1" ht="25.5">
      <c r="B5" s="218"/>
      <c r="C5" s="262" t="s">
        <v>166</v>
      </c>
      <c r="D5" s="219" t="s">
        <v>167</v>
      </c>
      <c r="E5" s="219" t="s">
        <v>138</v>
      </c>
      <c r="F5" s="220" t="s">
        <v>139</v>
      </c>
      <c r="G5" s="221" t="s">
        <v>168</v>
      </c>
    </row>
    <row r="6" spans="2:7" s="226" customFormat="1">
      <c r="B6" s="223" t="s">
        <v>169</v>
      </c>
      <c r="C6" s="263">
        <v>12628.3</v>
      </c>
      <c r="D6" s="224">
        <v>1</v>
      </c>
      <c r="E6" s="224">
        <v>12</v>
      </c>
      <c r="F6" s="224">
        <v>1</v>
      </c>
      <c r="G6" s="225">
        <f>ROUND(C6*D6*E6*F6,0)-0.4</f>
        <v>151539.6</v>
      </c>
    </row>
    <row r="7" spans="2:7" s="226" customFormat="1">
      <c r="B7" s="227" t="s">
        <v>171</v>
      </c>
      <c r="C7" s="263">
        <v>5280</v>
      </c>
      <c r="D7" s="224">
        <v>0.2</v>
      </c>
      <c r="E7" s="224">
        <v>12</v>
      </c>
      <c r="F7" s="224">
        <v>1</v>
      </c>
      <c r="G7" s="225">
        <f>ROUND(C7*D7*E7*F7,2)</f>
        <v>12672</v>
      </c>
    </row>
    <row r="8" spans="2:7" s="226" customFormat="1" ht="34.5" customHeight="1">
      <c r="B8" s="223" t="s">
        <v>305</v>
      </c>
      <c r="C8" s="264">
        <v>256.85000000000002</v>
      </c>
      <c r="D8" s="224">
        <v>2</v>
      </c>
      <c r="E8" s="224">
        <v>12</v>
      </c>
      <c r="F8" s="224">
        <v>1</v>
      </c>
      <c r="G8" s="225">
        <f t="shared" ref="G8:G21" si="0">ROUND(C8*D8*E8,2)</f>
        <v>6164.4</v>
      </c>
    </row>
    <row r="9" spans="2:7" s="226" customFormat="1">
      <c r="B9" s="223" t="s">
        <v>172</v>
      </c>
      <c r="C9" s="263">
        <v>1605.26</v>
      </c>
      <c r="D9" s="224">
        <v>2</v>
      </c>
      <c r="E9" s="224">
        <v>12</v>
      </c>
      <c r="F9" s="224">
        <v>1</v>
      </c>
      <c r="G9" s="225">
        <f>ROUND(C9*D9*E9,2)-0.24</f>
        <v>38526</v>
      </c>
    </row>
    <row r="10" spans="2:7" s="226" customFormat="1" hidden="1">
      <c r="B10" s="223" t="s">
        <v>261</v>
      </c>
      <c r="C10" s="263"/>
      <c r="D10" s="224"/>
      <c r="E10" s="224"/>
      <c r="F10" s="224"/>
      <c r="G10" s="225">
        <f t="shared" si="0"/>
        <v>0</v>
      </c>
    </row>
    <row r="11" spans="2:7" s="226" customFormat="1" ht="25.5" hidden="1">
      <c r="B11" s="223" t="s">
        <v>262</v>
      </c>
      <c r="C11" s="263"/>
      <c r="D11" s="251"/>
      <c r="E11" s="251"/>
      <c r="F11" s="251"/>
      <c r="G11" s="252"/>
    </row>
    <row r="12" spans="2:7" s="226" customFormat="1" hidden="1">
      <c r="B12" s="223" t="s">
        <v>263</v>
      </c>
      <c r="C12" s="263"/>
      <c r="D12" s="224"/>
      <c r="E12" s="224"/>
      <c r="F12" s="224"/>
      <c r="G12" s="225">
        <f t="shared" si="0"/>
        <v>0</v>
      </c>
    </row>
    <row r="13" spans="2:7" s="226" customFormat="1" ht="12" customHeight="1">
      <c r="B13" s="223" t="s">
        <v>264</v>
      </c>
      <c r="C13" s="263">
        <v>1100</v>
      </c>
      <c r="D13" s="224">
        <v>2</v>
      </c>
      <c r="E13" s="224">
        <v>12</v>
      </c>
      <c r="F13" s="224">
        <v>1</v>
      </c>
      <c r="G13" s="225">
        <f t="shared" si="0"/>
        <v>26400</v>
      </c>
    </row>
    <row r="14" spans="2:7" s="226" customFormat="1" ht="25.5">
      <c r="B14" s="223" t="s">
        <v>265</v>
      </c>
      <c r="C14" s="263"/>
      <c r="D14" s="224"/>
      <c r="E14" s="224"/>
      <c r="F14" s="224"/>
      <c r="G14" s="225"/>
    </row>
    <row r="15" spans="2:7" s="226" customFormat="1">
      <c r="B15" s="223" t="s">
        <v>306</v>
      </c>
      <c r="C15" s="263"/>
      <c r="D15" s="224"/>
      <c r="E15" s="224"/>
      <c r="F15" s="224">
        <v>1</v>
      </c>
      <c r="G15" s="225">
        <f>C15*D15*E15*F15</f>
        <v>0</v>
      </c>
    </row>
    <row r="16" spans="2:7" s="226" customFormat="1" ht="38.25">
      <c r="B16" s="223" t="s">
        <v>307</v>
      </c>
      <c r="C16" s="263">
        <v>3700</v>
      </c>
      <c r="D16" s="224">
        <v>1</v>
      </c>
      <c r="E16" s="224">
        <v>1</v>
      </c>
      <c r="F16" s="224">
        <v>1</v>
      </c>
      <c r="G16" s="225">
        <f>C16*D16*E16*F16</f>
        <v>3700</v>
      </c>
    </row>
    <row r="17" spans="2:7" s="226" customFormat="1" ht="38.25" hidden="1">
      <c r="B17" s="223" t="s">
        <v>307</v>
      </c>
      <c r="C17" s="263"/>
      <c r="D17" s="224"/>
      <c r="E17" s="224"/>
      <c r="F17" s="224">
        <v>1</v>
      </c>
      <c r="G17" s="225">
        <f>C17*D17*E17*F17</f>
        <v>0</v>
      </c>
    </row>
    <row r="18" spans="2:7" s="226" customFormat="1" ht="29.25" customHeight="1">
      <c r="B18" s="223" t="s">
        <v>266</v>
      </c>
      <c r="C18" s="263">
        <v>3605</v>
      </c>
      <c r="D18" s="224">
        <v>1</v>
      </c>
      <c r="E18" s="224">
        <v>8</v>
      </c>
      <c r="F18" s="224">
        <v>1</v>
      </c>
      <c r="G18" s="225">
        <f>ROUND(C18*D18*E18,2)</f>
        <v>28840</v>
      </c>
    </row>
    <row r="19" spans="2:7" s="226" customFormat="1">
      <c r="B19" s="223" t="s">
        <v>173</v>
      </c>
      <c r="C19" s="263">
        <v>7000</v>
      </c>
      <c r="D19" s="224">
        <v>1</v>
      </c>
      <c r="E19" s="224">
        <v>1</v>
      </c>
      <c r="F19" s="224">
        <v>1</v>
      </c>
      <c r="G19" s="225">
        <f>ROUND(C19*D19*E19,2)</f>
        <v>7000</v>
      </c>
    </row>
    <row r="20" spans="2:7" s="226" customFormat="1">
      <c r="B20" s="227" t="s">
        <v>267</v>
      </c>
      <c r="C20" s="263"/>
      <c r="D20" s="224"/>
      <c r="E20" s="224"/>
      <c r="F20" s="224">
        <v>1</v>
      </c>
      <c r="G20" s="225">
        <f>ROUND(C20*D20*E20,2)</f>
        <v>0</v>
      </c>
    </row>
    <row r="21" spans="2:7" s="226" customFormat="1">
      <c r="B21" s="223" t="s">
        <v>268</v>
      </c>
      <c r="C21" s="263">
        <v>5925</v>
      </c>
      <c r="D21" s="224">
        <v>1</v>
      </c>
      <c r="E21" s="224">
        <v>12</v>
      </c>
      <c r="F21" s="224"/>
      <c r="G21" s="225">
        <f t="shared" si="0"/>
        <v>71100</v>
      </c>
    </row>
    <row r="22" spans="2:7" s="226" customFormat="1" hidden="1">
      <c r="B22" s="223" t="s">
        <v>269</v>
      </c>
      <c r="C22" s="263"/>
      <c r="D22" s="224"/>
      <c r="E22" s="224"/>
      <c r="F22" s="224">
        <v>1</v>
      </c>
      <c r="G22" s="225">
        <f>ROUND(C22*D22*E22,0)</f>
        <v>0</v>
      </c>
    </row>
    <row r="23" spans="2:7" s="226" customFormat="1" hidden="1">
      <c r="B23" s="223" t="s">
        <v>270</v>
      </c>
      <c r="C23" s="265"/>
      <c r="D23" s="229"/>
      <c r="E23" s="228"/>
      <c r="F23" s="224"/>
      <c r="G23" s="225">
        <f>C23*E23</f>
        <v>0</v>
      </c>
    </row>
    <row r="24" spans="2:7" s="226" customFormat="1" ht="18.75" customHeight="1">
      <c r="B24" s="223" t="s">
        <v>352</v>
      </c>
      <c r="C24" s="265">
        <v>2390.33</v>
      </c>
      <c r="D24" s="229">
        <v>1</v>
      </c>
      <c r="E24" s="228">
        <v>12</v>
      </c>
      <c r="F24" s="224">
        <v>1</v>
      </c>
      <c r="G24" s="225">
        <f>C24*D24*E24*F24+0.04</f>
        <v>28684</v>
      </c>
    </row>
    <row r="25" spans="2:7" s="226" customFormat="1" ht="12.75" customHeight="1">
      <c r="B25" s="223" t="s">
        <v>353</v>
      </c>
      <c r="C25" s="265">
        <v>500</v>
      </c>
      <c r="D25" s="229">
        <v>2</v>
      </c>
      <c r="E25" s="228">
        <v>12</v>
      </c>
      <c r="F25" s="224">
        <v>1</v>
      </c>
      <c r="G25" s="225">
        <f>C25*D25*E25*F25</f>
        <v>12000</v>
      </c>
    </row>
    <row r="26" spans="2:7" s="226" customFormat="1" ht="14.25" customHeight="1">
      <c r="B26" s="223" t="s">
        <v>188</v>
      </c>
      <c r="C26" s="265">
        <v>1196.97</v>
      </c>
      <c r="D26" s="229">
        <v>2</v>
      </c>
      <c r="E26" s="228">
        <v>12</v>
      </c>
      <c r="F26" s="224">
        <v>1</v>
      </c>
      <c r="G26" s="225">
        <f>C26*D26*E26*F26-0.28</f>
        <v>28727</v>
      </c>
    </row>
    <row r="27" spans="2:7" s="226" customFormat="1" ht="25.5">
      <c r="B27" s="227" t="s">
        <v>271</v>
      </c>
      <c r="C27" s="266">
        <v>1100</v>
      </c>
      <c r="D27" s="229">
        <v>1</v>
      </c>
      <c r="E27" s="228">
        <v>1</v>
      </c>
      <c r="F27" s="224">
        <v>1</v>
      </c>
      <c r="G27" s="225">
        <f>C27*E27</f>
        <v>1100</v>
      </c>
    </row>
    <row r="28" spans="2:7" s="226" customFormat="1">
      <c r="B28" s="239" t="s">
        <v>273</v>
      </c>
      <c r="C28" s="263"/>
      <c r="D28" s="224"/>
      <c r="E28" s="224"/>
      <c r="F28" s="224"/>
      <c r="G28" s="225">
        <f>ROUND(C28*D28*E28,2)</f>
        <v>0</v>
      </c>
    </row>
    <row r="29" spans="2:7" s="226" customFormat="1">
      <c r="B29" s="439" t="s">
        <v>274</v>
      </c>
      <c r="C29" s="263"/>
      <c r="D29" s="224"/>
      <c r="E29" s="224"/>
      <c r="F29" s="224">
        <v>1</v>
      </c>
      <c r="G29" s="225">
        <f>C29*D29*E29*F29</f>
        <v>0</v>
      </c>
    </row>
    <row r="30" spans="2:7" s="226" customFormat="1">
      <c r="B30" s="440"/>
      <c r="C30" s="263"/>
      <c r="D30" s="224"/>
      <c r="E30" s="224"/>
      <c r="F30" s="224">
        <v>1</v>
      </c>
      <c r="G30" s="225">
        <f>C30*D30*E30*F30</f>
        <v>0</v>
      </c>
    </row>
    <row r="31" spans="2:7" s="226" customFormat="1">
      <c r="B31" s="440"/>
      <c r="C31" s="263"/>
      <c r="D31" s="224"/>
      <c r="E31" s="224"/>
      <c r="F31" s="224">
        <v>1</v>
      </c>
      <c r="G31" s="225">
        <f>C31*D31*E31*F31</f>
        <v>0</v>
      </c>
    </row>
    <row r="32" spans="2:7" s="226" customFormat="1" ht="13.5" thickBot="1">
      <c r="B32" s="441"/>
      <c r="C32" s="263"/>
      <c r="D32" s="224"/>
      <c r="E32" s="224"/>
      <c r="F32" s="224">
        <v>1</v>
      </c>
      <c r="G32" s="225">
        <f>C32*D32*E32*F32</f>
        <v>0</v>
      </c>
    </row>
    <row r="33" spans="2:9" s="226" customFormat="1" ht="25.5">
      <c r="B33" s="236" t="s">
        <v>272</v>
      </c>
      <c r="C33" s="267"/>
      <c r="D33" s="237"/>
      <c r="E33" s="237"/>
      <c r="F33" s="237"/>
      <c r="G33" s="238">
        <f>SUM(G34:G45)</f>
        <v>0</v>
      </c>
    </row>
    <row r="34" spans="2:9" s="226" customFormat="1" ht="17.25" customHeight="1">
      <c r="B34" s="239" t="s">
        <v>308</v>
      </c>
      <c r="C34" s="263"/>
      <c r="D34" s="224"/>
      <c r="E34" s="224"/>
      <c r="F34" s="224">
        <v>1</v>
      </c>
      <c r="G34" s="225">
        <f>ROUND(C34*D34*E34,2)</f>
        <v>0</v>
      </c>
    </row>
    <row r="35" spans="2:9" s="226" customFormat="1">
      <c r="B35" s="239" t="s">
        <v>309</v>
      </c>
      <c r="C35" s="263"/>
      <c r="D35" s="224"/>
      <c r="E35" s="224"/>
      <c r="F35" s="224">
        <v>1</v>
      </c>
      <c r="G35" s="225">
        <f>C35*D35*E35*F35</f>
        <v>0</v>
      </c>
    </row>
    <row r="36" spans="2:9" s="226" customFormat="1">
      <c r="B36" s="239" t="s">
        <v>310</v>
      </c>
      <c r="C36" s="263"/>
      <c r="D36" s="224"/>
      <c r="E36" s="224"/>
      <c r="F36" s="224">
        <v>1</v>
      </c>
      <c r="G36" s="225">
        <f>C36*D36*E36*F36</f>
        <v>0</v>
      </c>
      <c r="I36" s="253"/>
    </row>
    <row r="37" spans="2:9" s="226" customFormat="1" ht="39" thickBot="1">
      <c r="B37" s="239" t="s">
        <v>317</v>
      </c>
      <c r="C37" s="263"/>
      <c r="D37" s="224"/>
      <c r="E37" s="224"/>
      <c r="F37" s="224">
        <v>1</v>
      </c>
      <c r="G37" s="225">
        <f t="shared" ref="G37:G39" si="1">C37*D37*E37*F37</f>
        <v>0</v>
      </c>
    </row>
    <row r="38" spans="2:9" s="226" customFormat="1" ht="27.75" hidden="1" customHeight="1">
      <c r="B38" s="239" t="s">
        <v>275</v>
      </c>
      <c r="C38" s="263"/>
      <c r="D38" s="224"/>
      <c r="E38" s="224"/>
      <c r="F38" s="224"/>
      <c r="G38" s="225">
        <f t="shared" si="1"/>
        <v>0</v>
      </c>
    </row>
    <row r="39" spans="2:9" s="226" customFormat="1" ht="12.75" hidden="1" customHeight="1">
      <c r="B39" s="239" t="s">
        <v>276</v>
      </c>
      <c r="C39" s="263"/>
      <c r="D39" s="224"/>
      <c r="E39" s="224"/>
      <c r="F39" s="224"/>
      <c r="G39" s="225">
        <f t="shared" si="1"/>
        <v>0</v>
      </c>
    </row>
    <row r="40" spans="2:9" s="226" customFormat="1" ht="25.5" hidden="1">
      <c r="B40" s="239" t="s">
        <v>277</v>
      </c>
      <c r="C40" s="263"/>
      <c r="D40" s="224"/>
      <c r="E40" s="224"/>
      <c r="F40" s="224"/>
      <c r="G40" s="225">
        <f t="shared" ref="G40:G49" si="2">ROUND(C40*D40*E40*F40,2)</f>
        <v>0</v>
      </c>
    </row>
    <row r="41" spans="2:9" s="226" customFormat="1" ht="12.75" hidden="1" customHeight="1">
      <c r="B41" s="239"/>
      <c r="C41" s="263"/>
      <c r="D41" s="224"/>
      <c r="E41" s="224"/>
      <c r="F41" s="224"/>
      <c r="G41" s="225">
        <f t="shared" si="2"/>
        <v>0</v>
      </c>
    </row>
    <row r="42" spans="2:9" s="226" customFormat="1" ht="12.75" hidden="1" customHeight="1">
      <c r="B42" s="239"/>
      <c r="C42" s="263"/>
      <c r="D42" s="224"/>
      <c r="E42" s="224"/>
      <c r="F42" s="224"/>
      <c r="G42" s="225">
        <f t="shared" si="2"/>
        <v>0</v>
      </c>
    </row>
    <row r="43" spans="2:9" s="226" customFormat="1" hidden="1">
      <c r="B43" s="239"/>
      <c r="C43" s="263"/>
      <c r="D43" s="224"/>
      <c r="E43" s="224"/>
      <c r="F43" s="224"/>
      <c r="G43" s="225">
        <f t="shared" si="2"/>
        <v>0</v>
      </c>
    </row>
    <row r="44" spans="2:9" s="226" customFormat="1" ht="12.75" hidden="1" customHeight="1" thickBot="1">
      <c r="B44" s="230"/>
      <c r="C44" s="268"/>
      <c r="D44" s="231"/>
      <c r="E44" s="231"/>
      <c r="F44" s="231"/>
      <c r="G44" s="232">
        <f t="shared" si="2"/>
        <v>0</v>
      </c>
    </row>
    <row r="45" spans="2:9" s="226" customFormat="1" ht="3.75" customHeight="1" thickBot="1">
      <c r="B45" s="233"/>
      <c r="C45" s="269"/>
      <c r="D45" s="234"/>
      <c r="E45" s="234"/>
      <c r="F45" s="234"/>
      <c r="G45" s="235"/>
    </row>
    <row r="46" spans="2:9" ht="13.5" hidden="1" customHeight="1">
      <c r="B46" s="109"/>
      <c r="C46" s="270"/>
      <c r="D46" s="164"/>
      <c r="E46" s="164"/>
      <c r="F46" s="164"/>
      <c r="G46" s="165">
        <f t="shared" si="2"/>
        <v>0</v>
      </c>
    </row>
    <row r="47" spans="2:9" ht="13.5" hidden="1" customHeight="1">
      <c r="B47" s="108"/>
      <c r="C47" s="271"/>
      <c r="D47" s="39"/>
      <c r="E47" s="39"/>
      <c r="F47" s="39"/>
      <c r="G47" s="162">
        <f t="shared" si="2"/>
        <v>0</v>
      </c>
    </row>
    <row r="48" spans="2:9" hidden="1">
      <c r="B48" s="108"/>
      <c r="C48" s="271"/>
      <c r="D48" s="39"/>
      <c r="E48" s="39"/>
      <c r="F48" s="39"/>
      <c r="G48" s="162">
        <f t="shared" si="2"/>
        <v>0</v>
      </c>
    </row>
    <row r="49" spans="2:9" hidden="1">
      <c r="B49" s="108"/>
      <c r="C49" s="271"/>
      <c r="D49" s="39"/>
      <c r="E49" s="39"/>
      <c r="F49" s="39"/>
      <c r="G49" s="162">
        <f t="shared" si="2"/>
        <v>0</v>
      </c>
    </row>
    <row r="50" spans="2:9" ht="13.5" hidden="1" thickBot="1">
      <c r="B50" s="89"/>
      <c r="C50" s="272"/>
      <c r="D50" s="112"/>
      <c r="E50" s="112"/>
      <c r="F50" s="112"/>
      <c r="G50" s="161"/>
      <c r="I50" s="43"/>
    </row>
    <row r="51" spans="2:9">
      <c r="B51" s="114"/>
      <c r="C51" s="273"/>
      <c r="D51" s="107"/>
      <c r="E51" s="107"/>
      <c r="F51" s="107"/>
      <c r="G51" s="115"/>
      <c r="H51" s="107"/>
    </row>
    <row r="52" spans="2:9">
      <c r="B52" s="114"/>
      <c r="C52" s="273"/>
      <c r="D52" s="107"/>
      <c r="E52" s="107"/>
      <c r="F52" s="107"/>
      <c r="G52" s="107"/>
    </row>
    <row r="53" spans="2:9" ht="17.25" customHeight="1">
      <c r="B53" s="52"/>
    </row>
    <row r="54" spans="2:9" s="226" customFormat="1" ht="32.25" customHeight="1">
      <c r="B54" s="434" t="s">
        <v>174</v>
      </c>
      <c r="C54" s="435"/>
      <c r="D54" s="435"/>
      <c r="E54" s="435"/>
      <c r="F54" s="435"/>
      <c r="G54" s="435"/>
    </row>
    <row r="55" spans="2:9" s="226" customFormat="1" ht="13.5" thickBot="1">
      <c r="B55" s="222"/>
      <c r="C55" s="274"/>
    </row>
    <row r="56" spans="2:9" s="226" customFormat="1" ht="25.5">
      <c r="B56" s="240"/>
      <c r="C56" s="275" t="s">
        <v>166</v>
      </c>
      <c r="D56" s="241" t="s">
        <v>167</v>
      </c>
      <c r="E56" s="241" t="s">
        <v>138</v>
      </c>
      <c r="F56" s="242" t="s">
        <v>139</v>
      </c>
      <c r="G56" s="243" t="s">
        <v>168</v>
      </c>
    </row>
    <row r="57" spans="2:9" s="287" customFormat="1" ht="25.5">
      <c r="B57" s="223" t="s">
        <v>175</v>
      </c>
      <c r="C57" s="263">
        <v>2</v>
      </c>
      <c r="D57" s="251">
        <v>247.8</v>
      </c>
      <c r="E57" s="251">
        <v>12</v>
      </c>
      <c r="F57" s="251">
        <v>1</v>
      </c>
      <c r="G57" s="286">
        <f t="shared" ref="G57:G65" si="3">ROUND(C57*D57*E57*F57,2)</f>
        <v>5947.2</v>
      </c>
    </row>
    <row r="58" spans="2:9" s="287" customFormat="1" ht="25.5">
      <c r="B58" s="223" t="s">
        <v>175</v>
      </c>
      <c r="C58" s="263"/>
      <c r="D58" s="251"/>
      <c r="E58" s="251"/>
      <c r="F58" s="251">
        <v>1</v>
      </c>
      <c r="G58" s="286">
        <f t="shared" si="3"/>
        <v>0</v>
      </c>
    </row>
    <row r="59" spans="2:9" s="287" customFormat="1">
      <c r="B59" s="223" t="s">
        <v>176</v>
      </c>
      <c r="C59" s="263">
        <v>900</v>
      </c>
      <c r="D59" s="251">
        <v>0.56999999999999995</v>
      </c>
      <c r="E59" s="251">
        <v>12</v>
      </c>
      <c r="F59" s="251">
        <v>1</v>
      </c>
      <c r="G59" s="288">
        <f>ROUND(C59*D59*E59*F59,2)+0.6</f>
        <v>6156.6</v>
      </c>
    </row>
    <row r="60" spans="2:9" s="287" customFormat="1">
      <c r="B60" s="223" t="s">
        <v>176</v>
      </c>
      <c r="C60" s="263"/>
      <c r="D60" s="251"/>
      <c r="E60" s="251"/>
      <c r="F60" s="251">
        <v>1</v>
      </c>
      <c r="G60" s="286">
        <f t="shared" si="3"/>
        <v>0</v>
      </c>
    </row>
    <row r="61" spans="2:9" s="287" customFormat="1">
      <c r="B61" s="223" t="s">
        <v>259</v>
      </c>
      <c r="C61" s="263">
        <v>1427.8</v>
      </c>
      <c r="D61" s="251">
        <v>2</v>
      </c>
      <c r="E61" s="251">
        <v>12</v>
      </c>
      <c r="F61" s="251">
        <v>1</v>
      </c>
      <c r="G61" s="286">
        <f t="shared" si="3"/>
        <v>34267.199999999997</v>
      </c>
    </row>
    <row r="62" spans="2:9" s="287" customFormat="1">
      <c r="B62" s="223" t="s">
        <v>259</v>
      </c>
      <c r="C62" s="263"/>
      <c r="D62" s="251"/>
      <c r="E62" s="251"/>
      <c r="F62" s="251">
        <v>1</v>
      </c>
      <c r="G62" s="286">
        <f>ROUND(C62*D62*E62*F62,2)</f>
        <v>0</v>
      </c>
    </row>
    <row r="63" spans="2:9" s="287" customFormat="1">
      <c r="B63" s="223" t="s">
        <v>259</v>
      </c>
      <c r="C63" s="263"/>
      <c r="D63" s="251"/>
      <c r="E63" s="251"/>
      <c r="F63" s="251">
        <v>1</v>
      </c>
      <c r="G63" s="286">
        <f t="shared" si="3"/>
        <v>0</v>
      </c>
    </row>
    <row r="64" spans="2:9" s="287" customFormat="1">
      <c r="B64" s="223" t="s">
        <v>259</v>
      </c>
      <c r="C64" s="263"/>
      <c r="D64" s="251"/>
      <c r="E64" s="251"/>
      <c r="F64" s="251">
        <v>1</v>
      </c>
      <c r="G64" s="286">
        <f t="shared" si="3"/>
        <v>0</v>
      </c>
    </row>
    <row r="65" spans="2:7" s="287" customFormat="1">
      <c r="B65" s="223" t="s">
        <v>259</v>
      </c>
      <c r="C65" s="263"/>
      <c r="D65" s="251"/>
      <c r="E65" s="251"/>
      <c r="F65" s="251">
        <v>1</v>
      </c>
      <c r="G65" s="286">
        <f t="shared" si="3"/>
        <v>0</v>
      </c>
    </row>
    <row r="66" spans="2:7" s="226" customFormat="1">
      <c r="B66" s="223" t="s">
        <v>177</v>
      </c>
      <c r="C66" s="263"/>
      <c r="D66" s="224"/>
      <c r="E66" s="224"/>
      <c r="F66" s="224"/>
      <c r="G66" s="244">
        <f>SUM(G57:G65)-1</f>
        <v>46370</v>
      </c>
    </row>
    <row r="67" spans="2:7" s="226" customFormat="1" ht="27" customHeight="1" thickBot="1">
      <c r="B67" s="245" t="s">
        <v>178</v>
      </c>
      <c r="C67" s="276"/>
      <c r="D67" s="246"/>
      <c r="E67" s="246"/>
      <c r="F67" s="246"/>
      <c r="G67" s="247">
        <f>ROUND(C67*D67*E67*F67,2)</f>
        <v>0</v>
      </c>
    </row>
    <row r="68" spans="2:7" s="226" customFormat="1">
      <c r="B68" s="222"/>
      <c r="C68" s="274"/>
    </row>
    <row r="69" spans="2:7">
      <c r="B69" s="52"/>
    </row>
    <row r="70" spans="2:7">
      <c r="B70" s="52"/>
    </row>
    <row r="72" spans="2:7" ht="18.75">
      <c r="B72" s="120" t="s">
        <v>179</v>
      </c>
      <c r="C72" s="277"/>
      <c r="D72" s="121"/>
      <c r="E72" s="122"/>
    </row>
    <row r="73" spans="2:7" ht="45">
      <c r="B73" s="123" t="s">
        <v>31</v>
      </c>
      <c r="C73" s="278" t="s">
        <v>167</v>
      </c>
      <c r="D73" s="124" t="s">
        <v>166</v>
      </c>
      <c r="E73" s="123" t="s">
        <v>180</v>
      </c>
    </row>
    <row r="74" spans="2:7" ht="15">
      <c r="B74" s="125" t="s">
        <v>181</v>
      </c>
      <c r="C74" s="279">
        <v>1</v>
      </c>
      <c r="D74" s="317">
        <v>129000</v>
      </c>
      <c r="E74" s="318">
        <f t="shared" ref="E74:E81" si="4">C74*D74</f>
        <v>129000</v>
      </c>
    </row>
    <row r="75" spans="2:7" ht="15">
      <c r="B75" s="125"/>
      <c r="C75" s="279"/>
      <c r="D75" s="126"/>
      <c r="E75" s="39">
        <f t="shared" si="4"/>
        <v>0</v>
      </c>
    </row>
    <row r="76" spans="2:7" ht="15">
      <c r="B76" s="126"/>
      <c r="C76" s="279"/>
      <c r="D76" s="126"/>
      <c r="E76" s="39">
        <f t="shared" si="4"/>
        <v>0</v>
      </c>
    </row>
    <row r="77" spans="2:7" ht="15">
      <c r="B77" s="126"/>
      <c r="C77" s="279"/>
      <c r="D77" s="126"/>
      <c r="E77" s="39">
        <f t="shared" si="4"/>
        <v>0</v>
      </c>
    </row>
    <row r="78" spans="2:7" ht="15">
      <c r="B78" s="126"/>
      <c r="C78" s="279"/>
      <c r="D78" s="126"/>
      <c r="E78" s="39">
        <f t="shared" si="4"/>
        <v>0</v>
      </c>
    </row>
    <row r="79" spans="2:7" ht="15">
      <c r="B79" s="126"/>
      <c r="C79" s="279"/>
      <c r="D79" s="126"/>
      <c r="E79" s="39">
        <f t="shared" si="4"/>
        <v>0</v>
      </c>
    </row>
    <row r="80" spans="2:7" ht="15">
      <c r="B80" s="126"/>
      <c r="C80" s="279"/>
      <c r="D80" s="126"/>
      <c r="E80" s="39">
        <f t="shared" si="4"/>
        <v>0</v>
      </c>
    </row>
    <row r="81" spans="2:10" ht="15">
      <c r="B81" s="126"/>
      <c r="C81" s="279"/>
      <c r="D81" s="126"/>
      <c r="E81" s="39">
        <f t="shared" si="4"/>
        <v>0</v>
      </c>
    </row>
    <row r="82" spans="2:10" ht="14.25">
      <c r="B82" s="127" t="s">
        <v>146</v>
      </c>
      <c r="C82" s="280"/>
      <c r="D82" s="127"/>
      <c r="E82" s="39">
        <f>ROUND(SUM(E74:E81),2)</f>
        <v>129000</v>
      </c>
    </row>
    <row r="83" spans="2:10" ht="14.25">
      <c r="B83" s="128"/>
      <c r="C83" s="281"/>
      <c r="D83" s="128"/>
      <c r="E83" s="107"/>
    </row>
    <row r="84" spans="2:10" ht="14.25">
      <c r="B84" s="128"/>
      <c r="C84" s="281"/>
      <c r="D84" s="128"/>
      <c r="E84" s="107"/>
    </row>
    <row r="85" spans="2:10" ht="18.75">
      <c r="B85" s="436" t="s">
        <v>182</v>
      </c>
      <c r="C85" s="437"/>
      <c r="D85" s="437"/>
      <c r="E85" s="437"/>
      <c r="F85" s="437"/>
      <c r="G85" s="437"/>
    </row>
    <row r="86" spans="2:10" ht="13.5" thickBot="1"/>
    <row r="87" spans="2:10" ht="25.5">
      <c r="B87" s="116"/>
      <c r="C87" s="282" t="s">
        <v>166</v>
      </c>
      <c r="D87" s="117" t="s">
        <v>167</v>
      </c>
      <c r="E87" s="117" t="s">
        <v>138</v>
      </c>
      <c r="F87" s="67" t="s">
        <v>139</v>
      </c>
      <c r="G87" s="118" t="s">
        <v>168</v>
      </c>
    </row>
    <row r="88" spans="2:10">
      <c r="B88" s="163" t="s">
        <v>278</v>
      </c>
      <c r="C88" s="271"/>
      <c r="D88" s="39"/>
      <c r="E88" s="39"/>
      <c r="F88" s="39"/>
      <c r="G88" s="289">
        <f>SUM(G89:G92)</f>
        <v>160400</v>
      </c>
      <c r="H88" s="38" t="s">
        <v>170</v>
      </c>
    </row>
    <row r="89" spans="2:10">
      <c r="B89" s="70" t="s">
        <v>279</v>
      </c>
      <c r="C89" s="271">
        <v>100</v>
      </c>
      <c r="D89" s="39">
        <v>1300</v>
      </c>
      <c r="E89" s="39">
        <v>1</v>
      </c>
      <c r="F89" s="39">
        <v>1</v>
      </c>
      <c r="G89" s="290">
        <f t="shared" ref="G89:G104" si="5">ROUND(C89*D89*E89*F89,2)</f>
        <v>130000</v>
      </c>
    </row>
    <row r="90" spans="2:10">
      <c r="B90" s="70" t="s">
        <v>280</v>
      </c>
      <c r="C90" s="271">
        <v>8</v>
      </c>
      <c r="D90" s="39">
        <v>1100</v>
      </c>
      <c r="E90" s="39">
        <v>1</v>
      </c>
      <c r="F90" s="39">
        <v>1</v>
      </c>
      <c r="G90" s="290">
        <f t="shared" si="5"/>
        <v>8800</v>
      </c>
      <c r="H90" s="38" t="s">
        <v>170</v>
      </c>
    </row>
    <row r="91" spans="2:10">
      <c r="B91" s="70" t="s">
        <v>281</v>
      </c>
      <c r="C91" s="271"/>
      <c r="D91" s="39"/>
      <c r="E91" s="39">
        <v>1</v>
      </c>
      <c r="F91" s="39">
        <v>1</v>
      </c>
      <c r="G91" s="290">
        <f t="shared" si="5"/>
        <v>0</v>
      </c>
    </row>
    <row r="92" spans="2:10">
      <c r="B92" s="70" t="s">
        <v>282</v>
      </c>
      <c r="C92" s="271">
        <v>108</v>
      </c>
      <c r="D92" s="39">
        <v>200</v>
      </c>
      <c r="E92" s="39">
        <v>1</v>
      </c>
      <c r="F92" s="39">
        <v>1</v>
      </c>
      <c r="G92" s="290">
        <f t="shared" si="5"/>
        <v>21600</v>
      </c>
      <c r="H92" s="38" t="s">
        <v>170</v>
      </c>
    </row>
    <row r="93" spans="2:10">
      <c r="B93" s="70"/>
      <c r="C93" s="271"/>
      <c r="D93" s="39"/>
      <c r="E93" s="39"/>
      <c r="F93" s="39"/>
      <c r="G93" s="290"/>
    </row>
    <row r="94" spans="2:10">
      <c r="B94" s="257" t="s">
        <v>283</v>
      </c>
      <c r="C94" s="283">
        <v>1236</v>
      </c>
      <c r="D94" s="258">
        <v>1</v>
      </c>
      <c r="E94" s="258">
        <v>12</v>
      </c>
      <c r="F94" s="258">
        <v>1</v>
      </c>
      <c r="G94" s="291">
        <f>ROUND(C94*D94*E94*F94,2)</f>
        <v>14832</v>
      </c>
      <c r="H94" s="38" t="s">
        <v>170</v>
      </c>
    </row>
    <row r="95" spans="2:10" ht="12.75" customHeight="1">
      <c r="B95" s="257" t="s">
        <v>183</v>
      </c>
      <c r="C95" s="283">
        <v>2500</v>
      </c>
      <c r="D95" s="258">
        <v>1</v>
      </c>
      <c r="E95" s="258">
        <v>1</v>
      </c>
      <c r="F95" s="258">
        <v>1</v>
      </c>
      <c r="G95" s="291">
        <f t="shared" si="5"/>
        <v>2500</v>
      </c>
      <c r="H95" s="38" t="s">
        <v>170</v>
      </c>
      <c r="J95" s="47"/>
    </row>
    <row r="96" spans="2:10">
      <c r="B96" s="257" t="s">
        <v>284</v>
      </c>
      <c r="C96" s="283"/>
      <c r="D96" s="258"/>
      <c r="E96" s="258"/>
      <c r="F96" s="258"/>
      <c r="G96" s="291">
        <f t="shared" si="5"/>
        <v>0</v>
      </c>
    </row>
    <row r="97" spans="2:83" ht="25.5">
      <c r="B97" s="257" t="s">
        <v>285</v>
      </c>
      <c r="C97" s="283"/>
      <c r="D97" s="258"/>
      <c r="E97" s="258"/>
      <c r="F97" s="258">
        <v>1</v>
      </c>
      <c r="G97" s="291">
        <f t="shared" si="5"/>
        <v>0</v>
      </c>
    </row>
    <row r="98" spans="2:83">
      <c r="B98" s="257" t="s">
        <v>286</v>
      </c>
      <c r="C98" s="283">
        <v>5720</v>
      </c>
      <c r="D98" s="258">
        <v>1</v>
      </c>
      <c r="E98" s="258">
        <v>9</v>
      </c>
      <c r="F98" s="258">
        <v>1</v>
      </c>
      <c r="G98" s="291">
        <f t="shared" si="5"/>
        <v>51480</v>
      </c>
    </row>
    <row r="99" spans="2:83">
      <c r="B99" s="257" t="s">
        <v>303</v>
      </c>
      <c r="C99" s="283">
        <v>4700</v>
      </c>
      <c r="D99" s="258">
        <v>1</v>
      </c>
      <c r="E99" s="258">
        <v>1</v>
      </c>
      <c r="F99" s="258">
        <v>1</v>
      </c>
      <c r="G99" s="291">
        <f t="shared" si="5"/>
        <v>4700</v>
      </c>
      <c r="H99" s="38" t="s">
        <v>170</v>
      </c>
    </row>
    <row r="100" spans="2:83" ht="12.75" customHeight="1">
      <c r="B100" s="70"/>
      <c r="C100" s="271"/>
      <c r="D100" s="39"/>
      <c r="E100" s="39"/>
      <c r="F100" s="39"/>
      <c r="G100" s="290">
        <f t="shared" si="5"/>
        <v>0</v>
      </c>
      <c r="H100" s="38" t="s">
        <v>170</v>
      </c>
    </row>
    <row r="101" spans="2:83" ht="12.75" customHeight="1">
      <c r="B101" s="70"/>
      <c r="C101" s="271"/>
      <c r="D101" s="39"/>
      <c r="E101" s="39"/>
      <c r="F101" s="39"/>
      <c r="G101" s="292">
        <f t="shared" si="5"/>
        <v>0</v>
      </c>
      <c r="H101" s="38" t="s">
        <v>170</v>
      </c>
    </row>
    <row r="102" spans="2:83" ht="12.75" customHeight="1">
      <c r="B102" s="102"/>
      <c r="C102" s="284"/>
      <c r="D102" s="110"/>
      <c r="E102" s="39"/>
      <c r="F102" s="110"/>
      <c r="G102" s="292">
        <f t="shared" si="5"/>
        <v>0</v>
      </c>
    </row>
    <row r="103" spans="2:83" ht="12.75" customHeight="1">
      <c r="B103" s="102"/>
      <c r="C103" s="284"/>
      <c r="D103" s="110"/>
      <c r="E103" s="39"/>
      <c r="F103" s="110"/>
      <c r="G103" s="292">
        <f t="shared" si="5"/>
        <v>0</v>
      </c>
    </row>
    <row r="104" spans="2:83">
      <c r="B104" s="102"/>
      <c r="C104" s="284"/>
      <c r="D104" s="110"/>
      <c r="E104" s="110"/>
      <c r="F104" s="110"/>
      <c r="G104" s="292">
        <f t="shared" si="5"/>
        <v>0</v>
      </c>
      <c r="H104" s="38" t="s">
        <v>170</v>
      </c>
    </row>
    <row r="105" spans="2:83" ht="13.5" thickBot="1">
      <c r="B105" s="89"/>
      <c r="C105" s="272"/>
      <c r="D105" s="112"/>
      <c r="E105" s="112"/>
      <c r="F105" s="112"/>
      <c r="G105" s="293"/>
    </row>
    <row r="106" spans="2:83">
      <c r="G106" s="259"/>
      <c r="I106" s="130"/>
    </row>
    <row r="108" spans="2:83" s="90" customFormat="1">
      <c r="B108" s="48" t="s">
        <v>302</v>
      </c>
      <c r="C108" s="285"/>
      <c r="D108" s="158"/>
      <c r="E108" s="98"/>
      <c r="F108" s="99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</row>
    <row r="109" spans="2:83" s="90" customFormat="1">
      <c r="C109" s="260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</row>
    <row r="110" spans="2:83" s="90" customFormat="1">
      <c r="C110" s="260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</row>
    <row r="111" spans="2:83" s="90" customFormat="1">
      <c r="B111" s="38" t="s">
        <v>260</v>
      </c>
      <c r="C111" s="285"/>
      <c r="D111" s="157"/>
      <c r="E111" s="98"/>
      <c r="F111" s="99" t="s">
        <v>160</v>
      </c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</row>
    <row r="112" spans="2:83" s="90" customFormat="1">
      <c r="C112" s="260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</row>
  </sheetData>
  <mergeCells count="5">
    <mergeCell ref="B54:G54"/>
    <mergeCell ref="B85:G85"/>
    <mergeCell ref="F1:G1"/>
    <mergeCell ref="B2:G2"/>
    <mergeCell ref="B29:B32"/>
  </mergeCells>
  <pageMargins left="0" right="0" top="0.74803149606299213" bottom="0.74803149606299213" header="0.31496062992125984" footer="0.31496062992125984"/>
  <pageSetup paperSize="9" scale="98" orientation="portrait" r:id="rId1"/>
  <rowBreaks count="1" manualBreakCount="1">
    <brk id="6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D39"/>
  <sheetViews>
    <sheetView workbookViewId="0">
      <selection activeCell="C35" sqref="C35:C38"/>
    </sheetView>
  </sheetViews>
  <sheetFormatPr defaultRowHeight="12.75"/>
  <cols>
    <col min="1" max="1" width="23.42578125" style="38" customWidth="1"/>
    <col min="2" max="2" width="16.85546875" style="38" customWidth="1"/>
    <col min="3" max="4" width="12.85546875" style="38" customWidth="1"/>
    <col min="5" max="5" width="13" style="38" customWidth="1"/>
    <col min="6" max="6" width="12" style="38" customWidth="1"/>
    <col min="7" max="16384" width="9.140625" style="38"/>
  </cols>
  <sheetData>
    <row r="1" spans="1:6">
      <c r="E1" s="419" t="s">
        <v>184</v>
      </c>
      <c r="F1" s="419"/>
    </row>
    <row r="2" spans="1:6" ht="18.75">
      <c r="A2" s="438" t="s">
        <v>185</v>
      </c>
      <c r="B2" s="438"/>
      <c r="C2" s="438"/>
      <c r="D2" s="438"/>
      <c r="E2" s="438"/>
      <c r="F2" s="438"/>
    </row>
    <row r="3" spans="1:6" s="107" customFormat="1">
      <c r="A3" s="106"/>
      <c r="B3" s="106"/>
      <c r="C3" s="106"/>
      <c r="D3" s="106"/>
      <c r="E3" s="106"/>
      <c r="F3" s="106"/>
    </row>
    <row r="4" spans="1:6" ht="13.5" thickBot="1">
      <c r="A4" s="106"/>
      <c r="B4" s="106"/>
      <c r="C4" s="106"/>
      <c r="D4" s="106"/>
      <c r="E4" s="106"/>
      <c r="F4" s="106"/>
    </row>
    <row r="5" spans="1:6" s="52" customFormat="1" ht="25.5">
      <c r="A5" s="116"/>
      <c r="B5" s="117" t="s">
        <v>166</v>
      </c>
      <c r="C5" s="117" t="s">
        <v>167</v>
      </c>
      <c r="D5" s="117" t="s">
        <v>138</v>
      </c>
      <c r="E5" s="67" t="s">
        <v>139</v>
      </c>
      <c r="F5" s="118" t="s">
        <v>168</v>
      </c>
    </row>
    <row r="6" spans="1:6">
      <c r="A6" s="131" t="s">
        <v>186</v>
      </c>
      <c r="B6" s="39"/>
      <c r="C6" s="39"/>
      <c r="D6" s="39"/>
      <c r="E6" s="39">
        <v>1</v>
      </c>
      <c r="F6" s="119">
        <f>ROUND(B6*C6*D6*E6,2)</f>
        <v>0</v>
      </c>
    </row>
    <row r="7" spans="1:6">
      <c r="A7" s="131" t="s">
        <v>187</v>
      </c>
      <c r="B7" s="39"/>
      <c r="C7" s="39"/>
      <c r="D7" s="39"/>
      <c r="E7" s="39">
        <v>1</v>
      </c>
      <c r="F7" s="119">
        <f>ROUND(B7*C7*D7*E7,2)</f>
        <v>0</v>
      </c>
    </row>
    <row r="8" spans="1:6" ht="13.5" thickBot="1">
      <c r="A8" s="111"/>
      <c r="B8" s="112"/>
      <c r="C8" s="112"/>
      <c r="D8" s="112"/>
      <c r="E8" s="112"/>
      <c r="F8" s="113"/>
    </row>
    <row r="9" spans="1:6" ht="32.25" customHeight="1">
      <c r="A9" s="438" t="s">
        <v>189</v>
      </c>
      <c r="B9" s="442"/>
      <c r="C9" s="442"/>
      <c r="D9" s="442"/>
      <c r="E9" s="442"/>
      <c r="F9" s="442"/>
    </row>
    <row r="10" spans="1:6" ht="13.5" thickBot="1">
      <c r="A10" s="52"/>
    </row>
    <row r="11" spans="1:6" ht="25.5">
      <c r="A11" s="116"/>
      <c r="B11" s="117" t="s">
        <v>166</v>
      </c>
      <c r="C11" s="117" t="s">
        <v>167</v>
      </c>
      <c r="D11" s="117" t="s">
        <v>138</v>
      </c>
      <c r="E11" s="67" t="s">
        <v>139</v>
      </c>
      <c r="F11" s="118" t="s">
        <v>168</v>
      </c>
    </row>
    <row r="12" spans="1:6">
      <c r="A12" s="131" t="s">
        <v>190</v>
      </c>
      <c r="B12" s="39"/>
      <c r="C12" s="39"/>
      <c r="D12" s="39"/>
      <c r="E12" s="39">
        <v>1</v>
      </c>
      <c r="F12" s="119">
        <f>ROUND(B12*C12*D12*E12,2)</f>
        <v>0</v>
      </c>
    </row>
    <row r="13" spans="1:6">
      <c r="A13" s="131" t="s">
        <v>191</v>
      </c>
      <c r="B13" s="39"/>
      <c r="C13" s="39"/>
      <c r="D13" s="39"/>
      <c r="E13" s="39">
        <v>1</v>
      </c>
      <c r="F13" s="119">
        <f>ROUND(B13*C13*D13*E13,2)</f>
        <v>0</v>
      </c>
    </row>
    <row r="14" spans="1:6">
      <c r="A14" s="131" t="s">
        <v>192</v>
      </c>
      <c r="B14" s="39"/>
      <c r="C14" s="39"/>
      <c r="D14" s="39"/>
      <c r="E14" s="39">
        <v>1</v>
      </c>
      <c r="F14" s="119">
        <f>ROUND(B14*C14*D14*E14,2)</f>
        <v>0</v>
      </c>
    </row>
    <row r="15" spans="1:6" ht="13.5" thickBot="1">
      <c r="A15" s="89" t="s">
        <v>177</v>
      </c>
      <c r="B15" s="112"/>
      <c r="C15" s="112"/>
      <c r="D15" s="112"/>
      <c r="E15" s="112"/>
      <c r="F15" s="113">
        <f>F12+F13+F14</f>
        <v>0</v>
      </c>
    </row>
    <row r="16" spans="1:6">
      <c r="A16" s="52"/>
    </row>
    <row r="17" spans="1:6">
      <c r="A17" s="52"/>
    </row>
    <row r="18" spans="1:6" ht="37.5" customHeight="1">
      <c r="A18" s="443" t="s">
        <v>193</v>
      </c>
      <c r="B18" s="444"/>
      <c r="C18" s="444"/>
      <c r="D18" s="444"/>
      <c r="E18" s="444"/>
      <c r="F18" s="445"/>
    </row>
    <row r="19" spans="1:6">
      <c r="A19" s="132"/>
    </row>
    <row r="20" spans="1:6" ht="13.5" thickBot="1">
      <c r="A20" s="132"/>
    </row>
    <row r="21" spans="1:6" ht="51">
      <c r="A21" s="133"/>
      <c r="B21" s="117" t="s">
        <v>194</v>
      </c>
      <c r="C21" s="117" t="s">
        <v>195</v>
      </c>
      <c r="D21" s="117"/>
      <c r="E21" s="117"/>
      <c r="F21" s="118" t="s">
        <v>196</v>
      </c>
    </row>
    <row r="22" spans="1:6">
      <c r="A22" s="131" t="s">
        <v>197</v>
      </c>
      <c r="B22" s="39"/>
      <c r="C22" s="39">
        <v>1</v>
      </c>
      <c r="D22" s="39"/>
      <c r="E22" s="39"/>
      <c r="F22" s="119">
        <f>ROUND(B22*C22,2)</f>
        <v>0</v>
      </c>
    </row>
    <row r="23" spans="1:6" ht="13.5" thickBot="1">
      <c r="A23" s="134"/>
      <c r="B23" s="112"/>
      <c r="C23" s="112"/>
      <c r="D23" s="112"/>
      <c r="E23" s="112"/>
      <c r="F23" s="113">
        <f>ROUND(B23*C23*D23*E23,2)</f>
        <v>0</v>
      </c>
    </row>
    <row r="26" spans="1:6" ht="18.75">
      <c r="A26" s="436" t="s">
        <v>198</v>
      </c>
      <c r="B26" s="437"/>
      <c r="C26" s="437"/>
      <c r="D26" s="437"/>
      <c r="E26" s="437"/>
      <c r="F26" s="437"/>
    </row>
    <row r="27" spans="1:6" ht="13.5" thickBot="1"/>
    <row r="28" spans="1:6" ht="25.5">
      <c r="A28" s="116"/>
      <c r="B28" s="117" t="s">
        <v>166</v>
      </c>
      <c r="C28" s="117" t="s">
        <v>167</v>
      </c>
      <c r="D28" s="117" t="s">
        <v>138</v>
      </c>
      <c r="E28" s="67" t="s">
        <v>139</v>
      </c>
      <c r="F28" s="118" t="s">
        <v>168</v>
      </c>
    </row>
    <row r="29" spans="1:6">
      <c r="A29" s="70"/>
      <c r="B29" s="39"/>
      <c r="C29" s="39"/>
      <c r="D29" s="39"/>
      <c r="E29" s="39"/>
      <c r="F29" s="119">
        <f>ROUND(B29*C29*D29*E29,2)</f>
        <v>0</v>
      </c>
    </row>
    <row r="30" spans="1:6">
      <c r="A30" s="70"/>
      <c r="B30" s="39"/>
      <c r="C30" s="39"/>
      <c r="D30" s="39"/>
      <c r="E30" s="39"/>
      <c r="F30" s="119">
        <f>ROUND(B30*C30*D30*E30,2)</f>
        <v>0</v>
      </c>
    </row>
    <row r="31" spans="1:6" ht="13.5" thickBot="1">
      <c r="A31" s="89"/>
      <c r="B31" s="112"/>
      <c r="C31" s="112"/>
      <c r="D31" s="112"/>
      <c r="E31" s="112"/>
      <c r="F31" s="113">
        <f>ROUND(B31*C31*D31*E31,2)</f>
        <v>0</v>
      </c>
    </row>
    <row r="35" spans="1:82" s="90" customFormat="1">
      <c r="A35" s="48" t="s">
        <v>302</v>
      </c>
      <c r="B35" s="157"/>
      <c r="C35" s="158"/>
      <c r="D35" s="98"/>
      <c r="E35" s="99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</row>
    <row r="36" spans="1:82" s="90" customFormat="1"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</row>
    <row r="37" spans="1:82" s="90" customFormat="1"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</row>
    <row r="38" spans="1:82" s="90" customFormat="1">
      <c r="A38" s="38" t="s">
        <v>260</v>
      </c>
      <c r="B38" s="157"/>
      <c r="C38" s="157"/>
      <c r="D38" s="98"/>
      <c r="E38" s="99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</row>
    <row r="39" spans="1:82" s="90" customFormat="1"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</row>
  </sheetData>
  <mergeCells count="5">
    <mergeCell ref="E1:F1"/>
    <mergeCell ref="A2:F2"/>
    <mergeCell ref="A9:F9"/>
    <mergeCell ref="A18:F18"/>
    <mergeCell ref="A26:F2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D30"/>
  <sheetViews>
    <sheetView view="pageBreakPreview" topLeftCell="A4" zoomScaleSheetLayoutView="100" workbookViewId="0">
      <selection activeCell="G16" sqref="G16:G17"/>
    </sheetView>
  </sheetViews>
  <sheetFormatPr defaultRowHeight="12.75"/>
  <cols>
    <col min="1" max="1" width="3.140625" style="38" customWidth="1"/>
    <col min="2" max="2" width="27.7109375" style="132" customWidth="1"/>
    <col min="3" max="3" width="10.85546875" style="132" customWidth="1"/>
    <col min="4" max="4" width="13.42578125" style="38" customWidth="1"/>
    <col min="5" max="5" width="13.5703125" style="38" customWidth="1"/>
    <col min="6" max="6" width="10.28515625" style="38" customWidth="1"/>
    <col min="7" max="7" width="15.42578125" style="38" customWidth="1"/>
    <col min="8" max="8" width="10.28515625" style="38" customWidth="1"/>
    <col min="9" max="9" width="13" style="38" customWidth="1"/>
    <col min="10" max="16384" width="9.140625" style="38"/>
  </cols>
  <sheetData>
    <row r="1" spans="2:9">
      <c r="G1" s="98"/>
    </row>
    <row r="2" spans="2:9" ht="15">
      <c r="B2" s="446" t="s">
        <v>242</v>
      </c>
      <c r="C2" s="446"/>
      <c r="D2" s="446"/>
      <c r="E2" s="446"/>
      <c r="F2" s="446"/>
      <c r="G2" s="446"/>
    </row>
    <row r="4" spans="2:9" ht="13.5" thickBot="1"/>
    <row r="5" spans="2:9" s="52" customFormat="1" ht="84.75" customHeight="1">
      <c r="B5" s="133"/>
      <c r="C5" s="309" t="s">
        <v>243</v>
      </c>
      <c r="D5" s="117" t="s">
        <v>195</v>
      </c>
      <c r="E5" s="117" t="s">
        <v>244</v>
      </c>
      <c r="F5" s="143" t="s">
        <v>139</v>
      </c>
      <c r="G5" s="117" t="s">
        <v>245</v>
      </c>
      <c r="H5" s="143" t="s">
        <v>313</v>
      </c>
      <c r="I5" s="118" t="s">
        <v>245</v>
      </c>
    </row>
    <row r="6" spans="2:9">
      <c r="B6" s="70" t="s">
        <v>230</v>
      </c>
      <c r="C6" s="304" t="s">
        <v>246</v>
      </c>
      <c r="D6" s="249">
        <v>2300</v>
      </c>
      <c r="E6" s="249">
        <v>23.71</v>
      </c>
      <c r="F6" s="144">
        <v>1</v>
      </c>
      <c r="G6" s="305">
        <f>ROUND(D6*E6*F6,2)</f>
        <v>54533</v>
      </c>
      <c r="H6" s="144">
        <v>1</v>
      </c>
      <c r="I6" s="150">
        <f>ROUND(G6*H6,2)</f>
        <v>54533</v>
      </c>
    </row>
    <row r="7" spans="2:9">
      <c r="B7" s="70" t="s">
        <v>230</v>
      </c>
      <c r="C7" s="304" t="s">
        <v>246</v>
      </c>
      <c r="D7" s="249">
        <v>2300</v>
      </c>
      <c r="E7" s="249">
        <v>24.17</v>
      </c>
      <c r="F7" s="144">
        <v>1</v>
      </c>
      <c r="G7" s="305">
        <f>D7*E7*F7</f>
        <v>55591.000000000007</v>
      </c>
      <c r="H7" s="144">
        <v>1</v>
      </c>
      <c r="I7" s="315">
        <f t="shared" ref="I7:I22" si="0">ROUND(G7*H7,2)</f>
        <v>55591</v>
      </c>
    </row>
    <row r="8" spans="2:9" ht="13.5" customHeight="1">
      <c r="B8" s="70" t="s">
        <v>230</v>
      </c>
      <c r="C8" s="304" t="s">
        <v>246</v>
      </c>
      <c r="D8" s="249"/>
      <c r="E8" s="249"/>
      <c r="F8" s="144">
        <v>1</v>
      </c>
      <c r="G8" s="305">
        <f t="shared" ref="G8:G18" si="1">ROUND(D8*E8*F8,2)</f>
        <v>0</v>
      </c>
      <c r="H8" s="144">
        <v>1</v>
      </c>
      <c r="I8" s="315">
        <f t="shared" si="0"/>
        <v>0</v>
      </c>
    </row>
    <row r="9" spans="2:9">
      <c r="B9" s="70" t="s">
        <v>231</v>
      </c>
      <c r="C9" s="304" t="s">
        <v>246</v>
      </c>
      <c r="D9" s="249">
        <v>7000</v>
      </c>
      <c r="E9" s="249">
        <v>15.65</v>
      </c>
      <c r="F9" s="144">
        <v>1</v>
      </c>
      <c r="G9" s="305">
        <f t="shared" si="1"/>
        <v>109550</v>
      </c>
      <c r="H9" s="144">
        <v>1</v>
      </c>
      <c r="I9" s="315">
        <f t="shared" si="0"/>
        <v>109550</v>
      </c>
    </row>
    <row r="10" spans="2:9">
      <c r="B10" s="70" t="s">
        <v>231</v>
      </c>
      <c r="C10" s="304" t="s">
        <v>246</v>
      </c>
      <c r="D10" s="249"/>
      <c r="E10" s="249"/>
      <c r="F10" s="144">
        <v>1</v>
      </c>
      <c r="G10" s="305">
        <f t="shared" si="1"/>
        <v>0</v>
      </c>
      <c r="H10" s="144">
        <v>1</v>
      </c>
      <c r="I10" s="315">
        <f t="shared" si="0"/>
        <v>0</v>
      </c>
    </row>
    <row r="11" spans="2:9" ht="12.75" customHeight="1">
      <c r="B11" s="330" t="s">
        <v>231</v>
      </c>
      <c r="C11" s="304" t="s">
        <v>246</v>
      </c>
      <c r="D11" s="249"/>
      <c r="E11" s="249"/>
      <c r="F11" s="144">
        <v>1</v>
      </c>
      <c r="G11" s="332">
        <f t="shared" si="1"/>
        <v>0</v>
      </c>
      <c r="H11" s="144">
        <v>1</v>
      </c>
      <c r="I11" s="315">
        <f t="shared" si="0"/>
        <v>0</v>
      </c>
    </row>
    <row r="12" spans="2:9">
      <c r="B12" s="331" t="s">
        <v>247</v>
      </c>
      <c r="C12" s="304" t="s">
        <v>246</v>
      </c>
      <c r="D12" s="249">
        <v>23.71</v>
      </c>
      <c r="E12" s="249">
        <v>1000</v>
      </c>
      <c r="F12" s="144">
        <v>1</v>
      </c>
      <c r="G12" s="332">
        <f>ROUND(D12*E12*F12,2)</f>
        <v>23710</v>
      </c>
      <c r="H12" s="144">
        <v>1</v>
      </c>
      <c r="I12" s="315">
        <f t="shared" si="0"/>
        <v>23710</v>
      </c>
    </row>
    <row r="13" spans="2:9" ht="12.75" customHeight="1">
      <c r="B13" s="331" t="s">
        <v>247</v>
      </c>
      <c r="C13" s="304" t="s">
        <v>246</v>
      </c>
      <c r="D13" s="249">
        <v>24.17</v>
      </c>
      <c r="E13" s="249">
        <v>1000</v>
      </c>
      <c r="F13" s="144">
        <v>1</v>
      </c>
      <c r="G13" s="332">
        <f t="shared" si="1"/>
        <v>24170</v>
      </c>
      <c r="H13" s="144">
        <v>1</v>
      </c>
      <c r="I13" s="315">
        <f t="shared" si="0"/>
        <v>24170</v>
      </c>
    </row>
    <row r="14" spans="2:9" ht="25.5" customHeight="1">
      <c r="B14" s="330" t="s">
        <v>304</v>
      </c>
      <c r="C14" s="304" t="s">
        <v>248</v>
      </c>
      <c r="D14" s="248">
        <v>1581.82</v>
      </c>
      <c r="E14" s="249">
        <v>30</v>
      </c>
      <c r="F14" s="144">
        <v>1</v>
      </c>
      <c r="G14" s="332">
        <f>ROUND(D14*E14*F14,2)</f>
        <v>47454.6</v>
      </c>
      <c r="H14" s="144">
        <v>1</v>
      </c>
      <c r="I14" s="315">
        <f t="shared" si="0"/>
        <v>47454.6</v>
      </c>
    </row>
    <row r="15" spans="2:9" ht="25.5">
      <c r="B15" s="330" t="s">
        <v>304</v>
      </c>
      <c r="C15" s="304" t="s">
        <v>248</v>
      </c>
      <c r="D15" s="249">
        <v>1648.07</v>
      </c>
      <c r="E15" s="249">
        <v>40.474249999999998</v>
      </c>
      <c r="F15" s="144">
        <v>1</v>
      </c>
      <c r="G15" s="332">
        <f>ROUND(D15*E15*F15,2)</f>
        <v>66704.399999999994</v>
      </c>
      <c r="H15" s="144">
        <v>1</v>
      </c>
      <c r="I15" s="315">
        <f t="shared" si="0"/>
        <v>66704.399999999994</v>
      </c>
    </row>
    <row r="16" spans="2:9">
      <c r="B16" s="331" t="s">
        <v>232</v>
      </c>
      <c r="C16" s="306" t="s">
        <v>248</v>
      </c>
      <c r="D16" s="248">
        <v>1581.82</v>
      </c>
      <c r="E16" s="249">
        <v>650</v>
      </c>
      <c r="F16" s="144">
        <v>1</v>
      </c>
      <c r="G16" s="332">
        <f>ROUND(D16*E16*F16,2)</f>
        <v>1028183</v>
      </c>
      <c r="H16" s="144">
        <v>0.5</v>
      </c>
      <c r="I16" s="316">
        <f t="shared" si="0"/>
        <v>514091.5</v>
      </c>
    </row>
    <row r="17" spans="2:82">
      <c r="B17" s="140" t="s">
        <v>232</v>
      </c>
      <c r="C17" s="306" t="s">
        <v>248</v>
      </c>
      <c r="D17" s="249">
        <v>1648.07</v>
      </c>
      <c r="E17" s="249">
        <v>378.34859999999998</v>
      </c>
      <c r="F17" s="144">
        <v>1</v>
      </c>
      <c r="G17" s="332">
        <f>ROUND(D17*E17*F17,2)+0.02</f>
        <v>623545</v>
      </c>
      <c r="H17" s="144">
        <v>0.5</v>
      </c>
      <c r="I17" s="316">
        <f t="shared" si="0"/>
        <v>311772.5</v>
      </c>
    </row>
    <row r="18" spans="2:82">
      <c r="B18" s="140" t="s">
        <v>232</v>
      </c>
      <c r="C18" s="306" t="s">
        <v>248</v>
      </c>
      <c r="D18" s="249"/>
      <c r="E18" s="249"/>
      <c r="F18" s="144">
        <v>1</v>
      </c>
      <c r="G18" s="332">
        <f t="shared" si="1"/>
        <v>0</v>
      </c>
      <c r="H18" s="144">
        <v>0.5</v>
      </c>
      <c r="I18" s="316">
        <f t="shared" si="0"/>
        <v>0</v>
      </c>
    </row>
    <row r="19" spans="2:82">
      <c r="B19" s="70" t="s">
        <v>312</v>
      </c>
      <c r="C19" s="306" t="s">
        <v>249</v>
      </c>
      <c r="D19" s="250">
        <v>6.18</v>
      </c>
      <c r="E19" s="249">
        <v>126000</v>
      </c>
      <c r="F19" s="144">
        <v>1</v>
      </c>
      <c r="G19" s="332">
        <f>ROUND(D19*E19*F19,2)</f>
        <v>778680</v>
      </c>
      <c r="H19" s="144">
        <v>0.9</v>
      </c>
      <c r="I19" s="316">
        <f t="shared" si="0"/>
        <v>700812</v>
      </c>
    </row>
    <row r="20" spans="2:82">
      <c r="B20" s="70" t="s">
        <v>312</v>
      </c>
      <c r="C20" s="306" t="s">
        <v>249</v>
      </c>
      <c r="D20" s="307"/>
      <c r="E20" s="249"/>
      <c r="F20" s="144">
        <v>1</v>
      </c>
      <c r="G20" s="305">
        <f t="shared" ref="G20:G21" si="2">ROUND(D20*E20*F20,2)</f>
        <v>0</v>
      </c>
      <c r="H20" s="144">
        <v>0.9</v>
      </c>
      <c r="I20" s="316">
        <f t="shared" si="0"/>
        <v>0</v>
      </c>
    </row>
    <row r="21" spans="2:82">
      <c r="B21" s="70" t="s">
        <v>312</v>
      </c>
      <c r="C21" s="306" t="s">
        <v>249</v>
      </c>
      <c r="D21" s="308"/>
      <c r="E21" s="308"/>
      <c r="F21" s="144">
        <v>1</v>
      </c>
      <c r="G21" s="305">
        <f t="shared" si="2"/>
        <v>0</v>
      </c>
      <c r="H21" s="144">
        <v>0.9</v>
      </c>
      <c r="I21" s="316">
        <f t="shared" si="0"/>
        <v>0</v>
      </c>
    </row>
    <row r="22" spans="2:82" ht="13.5" thickBot="1">
      <c r="B22" s="89" t="s">
        <v>312</v>
      </c>
      <c r="C22" s="310" t="s">
        <v>249</v>
      </c>
      <c r="D22" s="112"/>
      <c r="E22" s="112"/>
      <c r="F22" s="301">
        <v>1</v>
      </c>
      <c r="G22" s="311">
        <f>ROUND(D22*E22*F22,2)</f>
        <v>0</v>
      </c>
      <c r="H22" s="301">
        <v>0.9</v>
      </c>
      <c r="I22" s="312">
        <f t="shared" si="0"/>
        <v>0</v>
      </c>
    </row>
    <row r="23" spans="2:82">
      <c r="D23" s="47"/>
      <c r="I23" s="47"/>
    </row>
    <row r="24" spans="2:82">
      <c r="D24" s="47"/>
    </row>
    <row r="25" spans="2:82">
      <c r="D25" s="47"/>
      <c r="I25" s="47"/>
    </row>
    <row r="26" spans="2:82" s="90" customFormat="1">
      <c r="B26" s="48" t="s">
        <v>302</v>
      </c>
      <c r="C26" s="157"/>
      <c r="D26" s="158"/>
      <c r="E26" s="98"/>
      <c r="F26" s="99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</row>
    <row r="27" spans="2:82" s="90" customFormat="1"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</row>
    <row r="28" spans="2:82" s="90" customFormat="1"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</row>
    <row r="29" spans="2:82" s="90" customFormat="1">
      <c r="B29" s="38" t="s">
        <v>260</v>
      </c>
      <c r="C29" s="157"/>
      <c r="D29" s="157"/>
      <c r="E29" s="98"/>
      <c r="F29" s="99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</row>
    <row r="30" spans="2:82" s="90" customFormat="1"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</row>
  </sheetData>
  <mergeCells count="1">
    <mergeCell ref="B2:G2"/>
  </mergeCells>
  <pageMargins left="0" right="0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Титульник</vt:lpstr>
      <vt:lpstr>мун.зад.</vt:lpstr>
      <vt:lpstr>проверка 2017</vt:lpstr>
      <vt:lpstr>проверка 2018 </vt:lpstr>
      <vt:lpstr>проверка 2019</vt:lpstr>
      <vt:lpstr>прил.1+2</vt:lpstr>
      <vt:lpstr>прил.3</vt:lpstr>
      <vt:lpstr>прил.4</vt:lpstr>
      <vt:lpstr>прил.5</vt:lpstr>
      <vt:lpstr>прил.6</vt:lpstr>
      <vt:lpstr>свод </vt:lpstr>
      <vt:lpstr>Лист1</vt:lpstr>
      <vt:lpstr>'свод '!Заголовки_для_печати</vt:lpstr>
      <vt:lpstr>мун.зад.!Область_печати</vt:lpstr>
      <vt:lpstr>'прил.1+2'!Область_печати</vt:lpstr>
      <vt:lpstr>прил.3!Область_печати</vt:lpstr>
      <vt:lpstr>прил.5!Область_печати</vt:lpstr>
      <vt:lpstr>прил.6!Область_печати</vt:lpstr>
      <vt:lpstr>'свод '!Область_печати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Юрий&amp;Елена</cp:lastModifiedBy>
  <cp:lastPrinted>2017-02-02T12:46:27Z</cp:lastPrinted>
  <dcterms:created xsi:type="dcterms:W3CDTF">2015-12-22T12:42:46Z</dcterms:created>
  <dcterms:modified xsi:type="dcterms:W3CDTF">2017-02-06T20:04:18Z</dcterms:modified>
</cp:coreProperties>
</file>